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etape\Box\40475 Vista + 40600 Myers Ln (Viscar)\Finance\Gov't Agency (CDLAC)\Submitted\"/>
    </mc:Choice>
  </mc:AlternateContent>
  <xr:revisionPtr revIDLastSave="0" documentId="13_ncr:1_{8A01FD45-B3BB-406F-99FB-5F66AC41AFCA}" xr6:coauthVersionLast="47" xr6:coauthVersionMax="47" xr10:uidLastSave="{00000000-0000-0000-0000-000000000000}"/>
  <bookViews>
    <workbookView xWindow="30770" yWindow="-19900" windowWidth="29040" windowHeight="16440" firstSheet="4"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8" i="3" l="1"/>
  <c r="AG446" i="3"/>
  <c r="M959" i="3" l="1"/>
  <c r="AB229" i="20" l="1"/>
  <c r="T214" i="20"/>
  <c r="T215" i="20"/>
  <c r="T216" i="20"/>
  <c r="T213" i="20"/>
  <c r="N214" i="20"/>
  <c r="N215" i="20"/>
  <c r="N216" i="20"/>
  <c r="N213" i="20"/>
  <c r="F37" i="13" l="1"/>
  <c r="C37" i="13"/>
  <c r="S37" i="4"/>
  <c r="AO640" i="3"/>
  <c r="E37" i="4"/>
  <c r="F8" i="8"/>
  <c r="AC890" i="3"/>
  <c r="F18" i="8" l="1"/>
  <c r="F17" i="8"/>
  <c r="F16" i="8"/>
  <c r="F13" i="8"/>
  <c r="F12" i="8"/>
  <c r="F11" i="8"/>
  <c r="F10" i="8"/>
  <c r="T723" i="3"/>
  <c r="T724" i="3"/>
  <c r="T725" i="3"/>
  <c r="T726" i="3"/>
  <c r="T727" i="3"/>
  <c r="T728" i="3"/>
  <c r="T729" i="3"/>
  <c r="T730" i="3"/>
  <c r="T731" i="3"/>
  <c r="T732" i="3"/>
  <c r="T737" i="3"/>
  <c r="T738" i="3"/>
  <c r="T736" i="3"/>
  <c r="K723" i="3"/>
  <c r="K724" i="3"/>
  <c r="K725" i="3"/>
  <c r="K726" i="3"/>
  <c r="K727" i="3"/>
  <c r="K728" i="3"/>
  <c r="K729" i="3"/>
  <c r="K730" i="3"/>
  <c r="K731" i="3"/>
  <c r="K737" i="3"/>
  <c r="K738" i="3"/>
  <c r="K736" i="3"/>
  <c r="K732" i="3"/>
  <c r="AA918" i="3"/>
  <c r="AA917" i="3"/>
  <c r="AG442" i="3"/>
  <c r="E53" i="7" l="1"/>
  <c r="O200" i="27"/>
  <c r="O199" i="27"/>
  <c r="AU188" i="27"/>
  <c r="V101" i="27"/>
  <c r="O101" i="27"/>
  <c r="AL38" i="27"/>
  <c r="AD36" i="27"/>
  <c r="F93" i="13"/>
  <c r="F92" i="13"/>
  <c r="F91" i="13"/>
  <c r="F90" i="13"/>
  <c r="F89" i="13"/>
  <c r="C94" i="13"/>
  <c r="C93" i="13"/>
  <c r="C92" i="13"/>
  <c r="C91" i="13"/>
  <c r="C90" i="13"/>
  <c r="C89" i="13"/>
  <c r="C88" i="13"/>
  <c r="F13" i="13"/>
  <c r="F67" i="13"/>
  <c r="F66" i="13"/>
  <c r="C67" i="13"/>
  <c r="C65" i="13"/>
  <c r="F53" i="13"/>
  <c r="F51" i="13"/>
  <c r="F50" i="13"/>
  <c r="F49" i="13"/>
  <c r="C53" i="13"/>
  <c r="C51" i="13"/>
  <c r="C50" i="13"/>
  <c r="F43" i="13"/>
  <c r="C43" i="13"/>
  <c r="F40" i="13"/>
  <c r="C40" i="13"/>
  <c r="F36" i="13"/>
  <c r="C36" i="13"/>
  <c r="C13" i="13"/>
  <c r="C4" i="13"/>
  <c r="E99" i="4"/>
  <c r="AU189" i="27" s="1"/>
  <c r="S93" i="4"/>
  <c r="S92" i="4"/>
  <c r="S91" i="4"/>
  <c r="S90" i="4"/>
  <c r="S89" i="4"/>
  <c r="E94" i="4"/>
  <c r="E93" i="4"/>
  <c r="E92" i="4"/>
  <c r="E91" i="4"/>
  <c r="E90" i="4"/>
  <c r="E89" i="4"/>
  <c r="E88" i="4"/>
  <c r="E86" i="4"/>
  <c r="E85" i="4"/>
  <c r="E83" i="4"/>
  <c r="E80" i="4"/>
  <c r="E79" i="4"/>
  <c r="E75" i="4"/>
  <c r="E67" i="4"/>
  <c r="E66" i="4"/>
  <c r="E65" i="4"/>
  <c r="E56" i="4"/>
  <c r="S53" i="4"/>
  <c r="S52" i="4"/>
  <c r="S51" i="4"/>
  <c r="S50" i="4"/>
  <c r="S46" i="4"/>
  <c r="E53" i="4"/>
  <c r="E52" i="4"/>
  <c r="E51" i="4"/>
  <c r="E50" i="4"/>
  <c r="E49" i="4"/>
  <c r="E46" i="4"/>
  <c r="E45" i="4"/>
  <c r="S43" i="4"/>
  <c r="S40" i="4"/>
  <c r="E43" i="4"/>
  <c r="E40" i="4"/>
  <c r="S36" i="4"/>
  <c r="E36" i="4"/>
  <c r="E35" i="4"/>
  <c r="E34" i="4"/>
  <c r="E33" i="4"/>
  <c r="E32" i="4"/>
  <c r="E31" i="4"/>
  <c r="E30" i="4"/>
  <c r="E29" i="4"/>
  <c r="S13" i="4"/>
  <c r="E13" i="4"/>
  <c r="E4" i="4"/>
  <c r="W871" i="3"/>
  <c r="W861" i="3"/>
  <c r="W859" i="3"/>
  <c r="W857" i="3"/>
  <c r="W854" i="3"/>
  <c r="W846" i="3"/>
  <c r="T735" i="3"/>
  <c r="K735" i="3"/>
  <c r="T734" i="3"/>
  <c r="K734" i="3"/>
  <c r="T733" i="3"/>
  <c r="K733" i="3"/>
  <c r="K722" i="3"/>
  <c r="Q627" i="3"/>
  <c r="AG443" i="3"/>
  <c r="Q391" i="3"/>
  <c r="AC385"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I18" i="8"/>
  <c r="J18" i="8" s="1"/>
  <c r="I17" i="8"/>
  <c r="I16" i="8"/>
  <c r="I8" i="8"/>
  <c r="J7" i="8"/>
  <c r="I7" i="8"/>
  <c r="I6" i="8"/>
  <c r="J6" i="8" s="1"/>
  <c r="I5" i="8"/>
  <c r="I4" i="8"/>
  <c r="AH750" i="3"/>
  <c r="AH749" i="3"/>
  <c r="AH748" i="3"/>
  <c r="AH747" i="3"/>
  <c r="AH746" i="3"/>
  <c r="AH745" i="3"/>
  <c r="AH744" i="3"/>
  <c r="AH743" i="3"/>
  <c r="AH741" i="3"/>
  <c r="AH740" i="3"/>
  <c r="AH739" i="3"/>
  <c r="AH738" i="3"/>
  <c r="AH737" i="3"/>
  <c r="AH721" i="3"/>
  <c r="AH72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6" i="8" s="1"/>
  <c r="G102" i="21"/>
  <c r="G88" i="21"/>
  <c r="G92" i="21" s="1"/>
  <c r="B10" i="8"/>
  <c r="CS649" i="3"/>
  <c r="E104" i="21"/>
  <c r="E95" i="21"/>
  <c r="B85" i="21"/>
  <c r="B60" i="21"/>
  <c r="B51" i="21"/>
  <c r="B42" i="21"/>
  <c r="B33" i="21"/>
  <c r="B18" i="21"/>
  <c r="B7" i="8"/>
  <c r="G7" i="8" s="1"/>
  <c r="AV775" i="3"/>
  <c r="AK274" i="20"/>
  <c r="T803" i="20" s="1"/>
  <c r="AF803" i="20" s="1"/>
  <c r="B24" i="4"/>
  <c r="R36" i="4"/>
  <c r="B36" i="4"/>
  <c r="B66" i="4"/>
  <c r="B67" i="4"/>
  <c r="B68" i="4"/>
  <c r="B69" i="4"/>
  <c r="R66" i="4"/>
  <c r="R70" i="4" s="1"/>
  <c r="R67" i="4"/>
  <c r="R68" i="4"/>
  <c r="A104" i="11"/>
  <c r="C101" i="11"/>
  <c r="C102" i="11"/>
  <c r="C103" i="11"/>
  <c r="C104" i="11"/>
  <c r="B101" i="11"/>
  <c r="B102" i="11"/>
  <c r="B103" i="11"/>
  <c r="B104" i="11"/>
  <c r="C85" i="11"/>
  <c r="C86" i="11"/>
  <c r="C87" i="11"/>
  <c r="C88" i="11"/>
  <c r="C89" i="11"/>
  <c r="D89" i="11" s="1"/>
  <c r="C90" i="11"/>
  <c r="C91" i="11"/>
  <c r="D91" i="11" s="1"/>
  <c r="C92" i="11"/>
  <c r="C93" i="11"/>
  <c r="C94" i="11"/>
  <c r="C95" i="11"/>
  <c r="C96" i="11"/>
  <c r="B85" i="11"/>
  <c r="B86" i="11"/>
  <c r="B87" i="11"/>
  <c r="D87" i="11" s="1"/>
  <c r="B88" i="11"/>
  <c r="B89" i="11"/>
  <c r="B90" i="11"/>
  <c r="B91" i="11"/>
  <c r="B92" i="11"/>
  <c r="B93" i="11"/>
  <c r="D93" i="11" s="1"/>
  <c r="B94" i="11"/>
  <c r="B95" i="11"/>
  <c r="B96" i="11"/>
  <c r="A70" i="11"/>
  <c r="C67" i="11"/>
  <c r="C71" i="11" s="1"/>
  <c r="D71" i="11" s="1"/>
  <c r="C68" i="11"/>
  <c r="C69" i="11"/>
  <c r="C70" i="11"/>
  <c r="B67" i="11"/>
  <c r="B68" i="11"/>
  <c r="B69" i="11"/>
  <c r="B70" i="11"/>
  <c r="A62" i="11"/>
  <c r="A54" i="11"/>
  <c r="A38" i="11"/>
  <c r="A26" i="11"/>
  <c r="C31" i="11"/>
  <c r="D31" i="11" s="1"/>
  <c r="C32" i="11"/>
  <c r="C33" i="11"/>
  <c r="D33" i="11" s="1"/>
  <c r="C34" i="11"/>
  <c r="D34" i="11" s="1"/>
  <c r="C35" i="11"/>
  <c r="D35" i="11" s="1"/>
  <c r="C36" i="11"/>
  <c r="C37" i="11"/>
  <c r="C38" i="11"/>
  <c r="B31" i="11"/>
  <c r="B32" i="11"/>
  <c r="B33" i="11"/>
  <c r="B34" i="11"/>
  <c r="B35" i="11"/>
  <c r="B36" i="11"/>
  <c r="D36" i="11" s="1"/>
  <c r="B37" i="11"/>
  <c r="B38" i="11"/>
  <c r="D38" i="11" s="1"/>
  <c r="C24" i="11"/>
  <c r="C25" i="11"/>
  <c r="C26" i="11"/>
  <c r="C27" i="11" s="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C66" i="13" s="1"/>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D81" i="11" s="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c r="C81" i="4"/>
  <c r="B81" i="13" s="1"/>
  <c r="B81" i="4"/>
  <c r="B80" i="4"/>
  <c r="A76" i="13"/>
  <c r="A61" i="13"/>
  <c r="A37" i="13"/>
  <c r="A25" i="13"/>
  <c r="A103" i="13"/>
  <c r="A95" i="13"/>
  <c r="A94" i="13"/>
  <c r="A93" i="13"/>
  <c r="B8" i="8"/>
  <c r="B9" i="8"/>
  <c r="B11" i="8"/>
  <c r="B12" i="8"/>
  <c r="B13" i="8"/>
  <c r="B14" i="8"/>
  <c r="B15" i="8"/>
  <c r="B16" i="8"/>
  <c r="B17" i="8"/>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65" i="13"/>
  <c r="F65" i="13" s="1"/>
  <c r="F70" i="13" s="1"/>
  <c r="E53" i="13"/>
  <c r="E52" i="13"/>
  <c r="F52" i="13" s="1"/>
  <c r="E51" i="13"/>
  <c r="E50" i="13"/>
  <c r="E49" i="13"/>
  <c r="E48" i="13"/>
  <c r="E47" i="13"/>
  <c r="E46" i="13"/>
  <c r="F46" i="13" s="1"/>
  <c r="E45" i="13"/>
  <c r="F45" i="13" s="1"/>
  <c r="E43" i="13"/>
  <c r="E41" i="13"/>
  <c r="E40" i="13"/>
  <c r="E37" i="13"/>
  <c r="E29" i="13"/>
  <c r="F29" i="13" s="1"/>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C86" i="13" s="1"/>
  <c r="B85" i="13"/>
  <c r="C85" i="13" s="1"/>
  <c r="B84" i="13"/>
  <c r="B83" i="13"/>
  <c r="C83" i="13" s="1"/>
  <c r="B79" i="13"/>
  <c r="C79" i="13" s="1"/>
  <c r="B76" i="13"/>
  <c r="B75" i="13"/>
  <c r="C75" i="13" s="1"/>
  <c r="C77" i="13" s="1"/>
  <c r="B74" i="13"/>
  <c r="B73" i="13"/>
  <c r="B72" i="13"/>
  <c r="B65" i="13"/>
  <c r="B61" i="13"/>
  <c r="B60" i="13"/>
  <c r="B59" i="13"/>
  <c r="B58" i="13"/>
  <c r="B57" i="13"/>
  <c r="B56" i="13"/>
  <c r="C56" i="13" s="1"/>
  <c r="C62" i="13" s="1"/>
  <c r="B53" i="13"/>
  <c r="B52" i="13"/>
  <c r="C52" i="13" s="1"/>
  <c r="B51" i="13"/>
  <c r="B50" i="13"/>
  <c r="B49" i="13"/>
  <c r="C49" i="13" s="1"/>
  <c r="B48" i="13"/>
  <c r="B47" i="13"/>
  <c r="B46" i="13"/>
  <c r="C46" i="13" s="1"/>
  <c r="B45" i="13"/>
  <c r="C45" i="13" s="1"/>
  <c r="B43" i="13"/>
  <c r="C42" i="4"/>
  <c r="B42" i="13"/>
  <c r="B41" i="13"/>
  <c r="B40" i="13"/>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4" s="1"/>
  <c r="B8" i="13"/>
  <c r="B9" i="13"/>
  <c r="B10" i="13"/>
  <c r="B13" i="13"/>
  <c r="B14" i="13"/>
  <c r="B15" i="13"/>
  <c r="B4" i="13"/>
  <c r="J104" i="13"/>
  <c r="I104" i="13"/>
  <c r="G104" i="13"/>
  <c r="D104" i="13"/>
  <c r="G96" i="13"/>
  <c r="D96" i="13"/>
  <c r="D77" i="13"/>
  <c r="J70" i="13"/>
  <c r="I70" i="13"/>
  <c r="G70" i="13"/>
  <c r="D70" i="13"/>
  <c r="C70" i="13"/>
  <c r="D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D8" i="13"/>
  <c r="T104" i="4"/>
  <c r="H104" i="13"/>
  <c r="R103" i="4"/>
  <c r="R102" i="4"/>
  <c r="R101" i="4"/>
  <c r="R99" i="4"/>
  <c r="S99" i="4" s="1"/>
  <c r="E99" i="13" s="1"/>
  <c r="F99" i="13" s="1"/>
  <c r="F104" i="13" s="1"/>
  <c r="R95" i="4"/>
  <c r="R94" i="4"/>
  <c r="R93" i="4"/>
  <c r="R92" i="4"/>
  <c r="R90" i="4"/>
  <c r="R89" i="4"/>
  <c r="R88" i="4"/>
  <c r="R87" i="4"/>
  <c r="R86" i="4"/>
  <c r="S86" i="4" s="1"/>
  <c r="E86" i="13" s="1"/>
  <c r="F86" i="13" s="1"/>
  <c r="R85" i="4"/>
  <c r="S85" i="4" s="1"/>
  <c r="E85" i="13" s="1"/>
  <c r="F85" i="13" s="1"/>
  <c r="R83" i="4"/>
  <c r="R76" i="4"/>
  <c r="R75" i="4"/>
  <c r="R77" i="4" s="1"/>
  <c r="R72" i="4"/>
  <c r="R73" i="4"/>
  <c r="R74" i="4"/>
  <c r="R69" i="4"/>
  <c r="R65" i="4"/>
  <c r="R61" i="4"/>
  <c r="R60" i="4"/>
  <c r="R59" i="4"/>
  <c r="R58" i="4"/>
  <c r="R57" i="4"/>
  <c r="R56" i="4"/>
  <c r="R62" i="4" s="1"/>
  <c r="R53" i="4"/>
  <c r="R52" i="4"/>
  <c r="R51" i="4"/>
  <c r="R50" i="4"/>
  <c r="R49" i="4"/>
  <c r="R48" i="4"/>
  <c r="R47" i="4"/>
  <c r="R46" i="4"/>
  <c r="R45" i="4"/>
  <c r="R43" i="4"/>
  <c r="R41" i="4"/>
  <c r="R40" i="4"/>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R29" i="4"/>
  <c r="S29" i="4" s="1"/>
  <c r="R27" i="4"/>
  <c r="R25" i="4"/>
  <c r="R23" i="4"/>
  <c r="R22" i="4"/>
  <c r="R21" i="4"/>
  <c r="R20" i="4"/>
  <c r="R19" i="4"/>
  <c r="R18" i="4"/>
  <c r="R17" i="4"/>
  <c r="R15" i="4"/>
  <c r="R14" i="4"/>
  <c r="R13" i="4"/>
  <c r="R9" i="4"/>
  <c r="R11" i="4"/>
  <c r="R7" i="4"/>
  <c r="R6" i="4"/>
  <c r="R5" i="4"/>
  <c r="R4" i="4"/>
  <c r="R8" i="4" s="1"/>
  <c r="R12"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B44" i="11"/>
  <c r="C44" i="11"/>
  <c r="B46" i="11"/>
  <c r="C46" i="11"/>
  <c r="B47" i="11"/>
  <c r="C47" i="11"/>
  <c r="B48" i="11"/>
  <c r="B49" i="11"/>
  <c r="D49" i="11" s="1"/>
  <c r="B50" i="11"/>
  <c r="B51" i="11"/>
  <c r="B52" i="11"/>
  <c r="B53" i="11"/>
  <c r="C48" i="11"/>
  <c r="C49" i="11"/>
  <c r="C50" i="11"/>
  <c r="C51" i="11"/>
  <c r="D51" i="11" s="1"/>
  <c r="C52" i="11"/>
  <c r="C53" i="11"/>
  <c r="B57" i="11"/>
  <c r="B63" i="11" s="1"/>
  <c r="C57" i="11"/>
  <c r="D57" i="11" s="1"/>
  <c r="B58" i="11"/>
  <c r="C58" i="11"/>
  <c r="B59" i="11"/>
  <c r="C59" i="11"/>
  <c r="B60" i="11"/>
  <c r="C60" i="11"/>
  <c r="B61" i="11"/>
  <c r="C61" i="11"/>
  <c r="B62" i="11"/>
  <c r="C62" i="11"/>
  <c r="B66" i="11"/>
  <c r="B71" i="11" s="1"/>
  <c r="C66" i="11"/>
  <c r="B73" i="11"/>
  <c r="C73" i="11"/>
  <c r="B74" i="11"/>
  <c r="C74" i="11"/>
  <c r="B75" i="11"/>
  <c r="C75" i="11"/>
  <c r="B76" i="11"/>
  <c r="B78" i="11" s="1"/>
  <c r="C76" i="11"/>
  <c r="C78" i="11" s="1"/>
  <c r="D78" i="11" s="1"/>
  <c r="B77" i="11"/>
  <c r="C77" i="11"/>
  <c r="B84" i="11"/>
  <c r="C84" i="11"/>
  <c r="B100" i="11"/>
  <c r="B105" i="11" s="1"/>
  <c r="C100" i="11"/>
  <c r="D100" i="11" s="1"/>
  <c r="A4" i="8"/>
  <c r="D4" i="8"/>
  <c r="A5" i="8"/>
  <c r="D5" i="8"/>
  <c r="A6" i="8"/>
  <c r="D6" i="8"/>
  <c r="A7" i="8"/>
  <c r="D7" i="8"/>
  <c r="A8" i="8"/>
  <c r="D8" i="8"/>
  <c r="A9" i="8"/>
  <c r="D9" i="8"/>
  <c r="I9" i="8" s="1"/>
  <c r="A10" i="8"/>
  <c r="D10" i="8"/>
  <c r="I10" i="8" s="1"/>
  <c r="A11" i="8"/>
  <c r="D11" i="8"/>
  <c r="I11" i="8" s="1"/>
  <c r="A12" i="8"/>
  <c r="D12" i="8"/>
  <c r="I12" i="8" s="1"/>
  <c r="A13" i="8"/>
  <c r="D13" i="8"/>
  <c r="I13" i="8" s="1"/>
  <c r="A14" i="8"/>
  <c r="D14" i="8"/>
  <c r="I14" i="8" s="1"/>
  <c r="A15" i="8"/>
  <c r="D15" i="8"/>
  <c r="I15" i="8" s="1"/>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4" s="1"/>
  <c r="C54" i="4"/>
  <c r="B54" i="4" s="1"/>
  <c r="C62" i="4"/>
  <c r="B62" i="4" s="1"/>
  <c r="B62" i="13"/>
  <c r="C77" i="4"/>
  <c r="B77" i="4" s="1"/>
  <c r="B77" i="13"/>
  <c r="C96" i="4"/>
  <c r="B96" i="13" s="1"/>
  <c r="D8" i="4"/>
  <c r="D11" i="4"/>
  <c r="D26" i="4"/>
  <c r="D38" i="4"/>
  <c r="D42" i="4"/>
  <c r="D54" i="4"/>
  <c r="D62" i="4"/>
  <c r="D77" i="4"/>
  <c r="D96" i="4"/>
  <c r="D104" i="4"/>
  <c r="B104" i="4"/>
  <c r="E26" i="13"/>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2" i="4" s="1"/>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AH719" i="3" s="1"/>
  <c r="BA669" i="3"/>
  <c r="BA670" i="3"/>
  <c r="G667" i="3"/>
  <c r="Z667" i="3"/>
  <c r="BA671" i="3"/>
  <c r="AH722" i="3" s="1"/>
  <c r="BA672" i="3"/>
  <c r="AH723" i="3" s="1"/>
  <c r="BA673" i="3"/>
  <c r="AH724" i="3" s="1"/>
  <c r="G675" i="3"/>
  <c r="Z675" i="3"/>
  <c r="BA679" i="3"/>
  <c r="AH730" i="3" s="1"/>
  <c r="BA680" i="3"/>
  <c r="AH731" i="3" s="1"/>
  <c r="BA681" i="3"/>
  <c r="BA682" i="3"/>
  <c r="BA683" i="3"/>
  <c r="BA684" i="3"/>
  <c r="AH735" i="3" s="1"/>
  <c r="BA685" i="3"/>
  <c r="AH736" i="3" s="1"/>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D53" i="11"/>
  <c r="J63" i="13"/>
  <c r="J97" i="13"/>
  <c r="J105" i="13"/>
  <c r="J107" i="13"/>
  <c r="L12" i="4"/>
  <c r="D48" i="11"/>
  <c r="D5" i="11"/>
  <c r="D70" i="11"/>
  <c r="D52" i="11"/>
  <c r="D6" i="11"/>
  <c r="L63" i="4"/>
  <c r="L97" i="4"/>
  <c r="L105" i="4"/>
  <c r="Q12" i="4"/>
  <c r="B11" i="4"/>
  <c r="O63" i="4"/>
  <c r="O97" i="4"/>
  <c r="O105" i="4"/>
  <c r="D18" i="11"/>
  <c r="D10" i="11"/>
  <c r="G63" i="13"/>
  <c r="G97" i="13"/>
  <c r="G105" i="13"/>
  <c r="G107" i="13"/>
  <c r="D61" i="11"/>
  <c r="D20" i="11"/>
  <c r="D8" i="11"/>
  <c r="D85" i="11"/>
  <c r="B43" i="11"/>
  <c r="D102" i="11"/>
  <c r="D94" i="11"/>
  <c r="K12" i="4"/>
  <c r="C43" i="11"/>
  <c r="D43" i="11" s="1"/>
  <c r="C12" i="13"/>
  <c r="D63" i="4"/>
  <c r="D97" i="4" s="1"/>
  <c r="D105" i="4" s="1"/>
  <c r="D7" i="11"/>
  <c r="J12" i="4"/>
  <c r="D22" i="11"/>
  <c r="O12" i="4"/>
  <c r="D95" i="11"/>
  <c r="D25" i="11"/>
  <c r="B11" i="13"/>
  <c r="D12" i="4"/>
  <c r="H12" i="4"/>
  <c r="B9" i="11"/>
  <c r="B13" i="11" s="1"/>
  <c r="D23" i="11"/>
  <c r="D19" i="11"/>
  <c r="D73" i="11"/>
  <c r="D44" i="11"/>
  <c r="D32" i="11"/>
  <c r="D15" i="11"/>
  <c r="D63" i="13"/>
  <c r="D97" i="13"/>
  <c r="D105" i="13"/>
  <c r="D14" i="11"/>
  <c r="Q63" i="4"/>
  <c r="Q97" i="4"/>
  <c r="Q105" i="4"/>
  <c r="N63" i="4"/>
  <c r="N97" i="4"/>
  <c r="N105" i="4"/>
  <c r="N12" i="4"/>
  <c r="H63" i="4"/>
  <c r="H97" i="4" s="1"/>
  <c r="F12" i="4"/>
  <c r="D60" i="11"/>
  <c r="M12" i="4"/>
  <c r="D74" i="11"/>
  <c r="D59" i="11"/>
  <c r="R42" i="4"/>
  <c r="P63" i="4"/>
  <c r="P97" i="4"/>
  <c r="P105" i="4"/>
  <c r="C9" i="11"/>
  <c r="D12" i="13"/>
  <c r="D58" i="11"/>
  <c r="D62" i="11"/>
  <c r="D24" i="11"/>
  <c r="D101" i="11"/>
  <c r="D90" i="11"/>
  <c r="D92" i="11"/>
  <c r="D75" i="11"/>
  <c r="D28" i="11"/>
  <c r="D103" i="11"/>
  <c r="D88" i="11"/>
  <c r="D42" i="11"/>
  <c r="D21" i="11"/>
  <c r="D16" i="11"/>
  <c r="B12" i="11"/>
  <c r="R26" i="4"/>
  <c r="AD199" i="20"/>
  <c r="B42" i="4"/>
  <c r="D77" i="11"/>
  <c r="M63" i="4"/>
  <c r="M97" i="4"/>
  <c r="M105" i="4"/>
  <c r="J63" i="4"/>
  <c r="J97" i="4"/>
  <c r="J105" i="4"/>
  <c r="D41" i="11"/>
  <c r="C12" i="11"/>
  <c r="K63" i="4"/>
  <c r="K97" i="4"/>
  <c r="K105" i="4"/>
  <c r="D104" i="11"/>
  <c r="E12" i="4"/>
  <c r="T63" i="4"/>
  <c r="T97" i="4"/>
  <c r="D11" i="11"/>
  <c r="D9" i="11"/>
  <c r="D12" i="11"/>
  <c r="C13" i="11"/>
  <c r="D13" i="11" s="1"/>
  <c r="H63" i="13"/>
  <c r="T105" i="4"/>
  <c r="H97" i="13"/>
  <c r="D96" i="11"/>
  <c r="T107" i="4"/>
  <c r="H105" i="13"/>
  <c r="H107" i="13"/>
  <c r="AD11" i="15"/>
  <c r="AZ846" i="3"/>
  <c r="G67" i="21" l="1"/>
  <c r="C105" i="11"/>
  <c r="D105" i="11" s="1"/>
  <c r="C96" i="13"/>
  <c r="C81" i="13"/>
  <c r="D76" i="11"/>
  <c r="D50" i="11"/>
  <c r="C38" i="13"/>
  <c r="G17" i="8"/>
  <c r="J17" i="8"/>
  <c r="G16" i="8"/>
  <c r="J16" i="8"/>
  <c r="AH725" i="3"/>
  <c r="AH726" i="3"/>
  <c r="AH727" i="3"/>
  <c r="AH728" i="3"/>
  <c r="AH729" i="3"/>
  <c r="AH732" i="3"/>
  <c r="AH734" i="3"/>
  <c r="AH733" i="3"/>
  <c r="G11" i="8"/>
  <c r="J11" i="8"/>
  <c r="G15" i="8"/>
  <c r="J15" i="8"/>
  <c r="D86" i="11"/>
  <c r="H105" i="4"/>
  <c r="S38" i="4"/>
  <c r="E38" i="13" s="1"/>
  <c r="D46" i="11"/>
  <c r="F54" i="13"/>
  <c r="B82" i="11"/>
  <c r="C63" i="11"/>
  <c r="D63" i="11" s="1"/>
  <c r="D47" i="11"/>
  <c r="R104" i="4"/>
  <c r="N186" i="27"/>
  <c r="F96" i="13"/>
  <c r="B97" i="11"/>
  <c r="S96" i="4"/>
  <c r="E96" i="13" s="1"/>
  <c r="R96" i="4"/>
  <c r="D84" i="11"/>
  <c r="F81" i="13"/>
  <c r="C82" i="11"/>
  <c r="D82" i="11" s="1"/>
  <c r="S81" i="4"/>
  <c r="E81" i="13" s="1"/>
  <c r="D80" i="11"/>
  <c r="R81" i="4"/>
  <c r="C54" i="13"/>
  <c r="C63" i="13" s="1"/>
  <c r="B54" i="13"/>
  <c r="C55" i="11"/>
  <c r="R54" i="4"/>
  <c r="B39" i="11"/>
  <c r="E30" i="13"/>
  <c r="F30" i="13" s="1"/>
  <c r="F38" i="13" s="1"/>
  <c r="C39" i="11"/>
  <c r="R38" i="4"/>
  <c r="G14" i="8"/>
  <c r="J14" i="8"/>
  <c r="G13" i="8"/>
  <c r="J13" i="8"/>
  <c r="G12" i="8"/>
  <c r="J12" i="8"/>
  <c r="G10" i="8"/>
  <c r="J10" i="8"/>
  <c r="G9" i="8"/>
  <c r="J9" i="8"/>
  <c r="G8" i="8"/>
  <c r="J8" i="8"/>
  <c r="G5" i="8"/>
  <c r="J5" i="8"/>
  <c r="G4" i="8"/>
  <c r="J4" i="8"/>
  <c r="M53" i="7"/>
  <c r="K58" i="7"/>
  <c r="I58" i="7"/>
  <c r="F105" i="4"/>
  <c r="C97" i="11"/>
  <c r="B96" i="4"/>
  <c r="D66" i="11"/>
  <c r="E63" i="4"/>
  <c r="E97" i="4" s="1"/>
  <c r="E105" i="4" s="1"/>
  <c r="B55" i="11"/>
  <c r="B38" i="13"/>
  <c r="G63" i="4"/>
  <c r="G97" i="4" s="1"/>
  <c r="G105" i="4" s="1"/>
  <c r="N187" i="27"/>
  <c r="B12" i="4"/>
  <c r="G12" i="4"/>
  <c r="C12" i="4"/>
  <c r="B12" i="13" s="1"/>
  <c r="B63" i="4"/>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I15" i="7"/>
  <c r="E26" i="21"/>
  <c r="E23" i="21"/>
  <c r="F23" i="21" s="1"/>
  <c r="G23" i="21" s="1"/>
  <c r="N193" i="27" l="1"/>
  <c r="C97" i="13"/>
  <c r="C105" i="13" s="1"/>
  <c r="S63" i="4"/>
  <c r="D39" i="11"/>
  <c r="F63" i="13"/>
  <c r="F97" i="13" s="1"/>
  <c r="F105" i="13" s="1"/>
  <c r="F107" i="13" s="1"/>
  <c r="S97" i="4"/>
  <c r="S105" i="4" s="1"/>
  <c r="S107" i="4" s="1"/>
  <c r="D97" i="11"/>
  <c r="D55" i="11"/>
  <c r="G40" i="8"/>
  <c r="J40" i="8"/>
  <c r="R63" i="4"/>
  <c r="R97" i="4" s="1"/>
  <c r="R105" i="4" s="1"/>
  <c r="B64" i="11"/>
  <c r="B98" i="11" s="1"/>
  <c r="B106" i="11" s="1"/>
  <c r="C64" i="11"/>
  <c r="DX635" i="3"/>
  <c r="AY1004" i="3"/>
  <c r="O53" i="7"/>
  <c r="M58" i="7"/>
  <c r="E63" i="13"/>
  <c r="E97" i="13"/>
  <c r="C97" i="4"/>
  <c r="C105" i="4" s="1"/>
  <c r="AC455" i="3" s="1"/>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9" i="21" s="1"/>
  <c r="P39" i="21" s="1" a="1"/>
  <c r="P39" i="21" s="1"/>
  <c r="R39"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I35" i="7" s="1"/>
  <c r="E27" i="21"/>
  <c r="G22" i="21"/>
  <c r="Z809" i="3" l="1"/>
  <c r="E6" i="7" s="1"/>
  <c r="M960" i="3"/>
  <c r="O38" i="21"/>
  <c r="P38" i="21" s="1" a="1"/>
  <c r="P38" i="21" s="1"/>
  <c r="R38" i="21" s="1"/>
  <c r="O26" i="21"/>
  <c r="P26" i="21" s="1" a="1"/>
  <c r="P26" i="21" s="1"/>
  <c r="R26" i="21" s="1"/>
  <c r="O40" i="21"/>
  <c r="P40" i="21" s="1" a="1"/>
  <c r="P40" i="21" s="1"/>
  <c r="R40" i="21" s="1"/>
  <c r="D64" i="11"/>
  <c r="C98" i="11"/>
  <c r="D98" i="11" s="1"/>
  <c r="B97" i="4"/>
  <c r="Q53" i="7"/>
  <c r="O58" i="7"/>
  <c r="E105" i="13"/>
  <c r="B105" i="13"/>
  <c r="AG258" i="20"/>
  <c r="B105" i="4"/>
  <c r="AC454" i="3" s="1"/>
  <c r="F457" i="3" s="1"/>
  <c r="B97" i="13"/>
  <c r="AC456" i="3"/>
  <c r="AF540" i="20"/>
  <c r="E107" i="13"/>
  <c r="O30" i="21"/>
  <c r="P30" i="21" s="1" a="1"/>
  <c r="P30" i="21" s="1"/>
  <c r="R30" i="21" s="1"/>
  <c r="O29" i="21"/>
  <c r="P29" i="21" s="1" a="1"/>
  <c r="P29" i="21" s="1"/>
  <c r="R29" i="21" s="1"/>
  <c r="O37" i="21"/>
  <c r="P37" i="21" s="1" a="1"/>
  <c r="P37" i="21" s="1"/>
  <c r="R37" i="21" s="1"/>
  <c r="O27" i="21"/>
  <c r="P27" i="21" s="1" a="1"/>
  <c r="P27" i="21" s="1"/>
  <c r="R27" i="21" s="1"/>
  <c r="O34" i="21"/>
  <c r="P34" i="21" s="1" a="1"/>
  <c r="P34" i="21" s="1"/>
  <c r="R34" i="21" s="1"/>
  <c r="O32" i="21"/>
  <c r="P32" i="21" s="1" a="1"/>
  <c r="P32" i="21" s="1"/>
  <c r="R32" i="21" s="1"/>
  <c r="O33" i="21"/>
  <c r="P33" i="21" s="1" a="1"/>
  <c r="P33" i="21" s="1"/>
  <c r="R33" i="21" s="1"/>
  <c r="O24" i="21"/>
  <c r="P24" i="21" s="1" a="1"/>
  <c r="P24" i="21" s="1"/>
  <c r="R24" i="21" s="1"/>
  <c r="O28" i="21"/>
  <c r="P28" i="21" s="1" a="1"/>
  <c r="P28" i="21" s="1"/>
  <c r="R28" i="21" s="1"/>
  <c r="O25" i="21"/>
  <c r="P25" i="21" s="1" a="1"/>
  <c r="P25" i="21" s="1"/>
  <c r="R25" i="21" s="1"/>
  <c r="O31" i="21"/>
  <c r="P31" i="21" s="1" a="1"/>
  <c r="P31" i="21" s="1"/>
  <c r="R31" i="21" s="1"/>
  <c r="O35" i="21"/>
  <c r="P35" i="21" s="1" a="1"/>
  <c r="P35" i="21" s="1"/>
  <c r="R35" i="21" s="1"/>
  <c r="O36" i="21"/>
  <c r="P36" i="21" s="1" a="1"/>
  <c r="P36" i="21" s="1"/>
  <c r="R36"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C106" i="11" l="1"/>
  <c r="D106" i="11" s="1"/>
  <c r="S53" i="7"/>
  <c r="Q58" i="7"/>
  <c r="N183" i="27"/>
  <c r="N194" i="27" s="1"/>
  <c r="AB255" i="20"/>
  <c r="AG257" i="20" s="1"/>
  <c r="AG259" i="20" s="1"/>
  <c r="AK262" i="20" s="1"/>
  <c r="T801" i="20" s="1"/>
  <c r="AF801" i="20" s="1"/>
  <c r="AB47" i="15"/>
  <c r="AB49" i="15" s="1"/>
  <c r="AB54" i="15" s="1"/>
  <c r="AB55" i="15" s="1"/>
  <c r="T11" i="15"/>
  <c r="T23" i="15" s="1"/>
  <c r="T26" i="15" s="1"/>
  <c r="T28" i="15" s="1"/>
  <c r="Y11" i="15"/>
  <c r="Y23" i="15" s="1"/>
  <c r="Y26" i="15" s="1"/>
  <c r="Y28" i="15" s="1"/>
  <c r="G38" i="21"/>
  <c r="G40" i="21" s="1"/>
  <c r="E10" i="21" s="1"/>
  <c r="AP694" i="20"/>
  <c r="AP695" i="20"/>
  <c r="I4" i="7"/>
  <c r="I5" i="7" s="1"/>
  <c r="K9" i="7"/>
  <c r="E11" i="7"/>
  <c r="E37" i="7" s="1"/>
  <c r="E49" i="7" s="1"/>
  <c r="AJ991" i="3"/>
  <c r="AJ993" i="3" s="1"/>
  <c r="I13" i="21" s="1"/>
  <c r="E132" i="20"/>
  <c r="E133" i="20" s="1"/>
  <c r="AK137" i="20" s="1"/>
  <c r="T796" i="20" s="1"/>
  <c r="AF796" i="20" s="1"/>
  <c r="AB990" i="3"/>
  <c r="CS660" i="3"/>
  <c r="U362" i="20" s="1"/>
  <c r="P421" i="3"/>
  <c r="I6" i="7"/>
  <c r="G7" i="7"/>
  <c r="G11" i="7" s="1"/>
  <c r="G37" i="7" s="1"/>
  <c r="M22" i="7"/>
  <c r="M35" i="7" s="1"/>
  <c r="O15" i="7"/>
  <c r="M9" i="7"/>
  <c r="O8" i="7"/>
  <c r="G25" i="21"/>
  <c r="F24" i="21"/>
  <c r="U53" i="7" l="1"/>
  <c r="S58" i="7"/>
  <c r="Y64" i="15"/>
  <c r="Y68" i="15" s="1"/>
  <c r="N184" i="27"/>
  <c r="T29" i="15"/>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Y38" i="15" s="1"/>
  <c r="U58" i="7"/>
  <c r="W53" i="7"/>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E62" i="7"/>
  <c r="E67" i="7" s="1"/>
  <c r="W58" i="7"/>
  <c r="Y53" i="7"/>
  <c r="K11" i="7"/>
  <c r="K37" i="7" s="1"/>
  <c r="K45" i="7" s="1"/>
  <c r="O5" i="7"/>
  <c r="Q4" i="7"/>
  <c r="AD38" i="15"/>
  <c r="AD40" i="15" s="1"/>
  <c r="Y40" i="15"/>
  <c r="M7" i="7"/>
  <c r="M11" i="7" s="1"/>
  <c r="M37" i="7" s="1"/>
  <c r="O6" i="7"/>
  <c r="G62" i="7"/>
  <c r="G67" i="7" s="1"/>
  <c r="I48" i="7"/>
  <c r="I60" i="7"/>
  <c r="I47" i="7"/>
  <c r="G69" i="21"/>
  <c r="G81" i="21"/>
  <c r="G65" i="21"/>
  <c r="S22" i="7"/>
  <c r="S35" i="7" s="1"/>
  <c r="U15" i="7"/>
  <c r="E14" i="21"/>
  <c r="E15" i="21" s="1"/>
  <c r="U8" i="7"/>
  <c r="S9" i="7"/>
  <c r="E66" i="7" l="1"/>
  <c r="E70" i="7" s="1"/>
  <c r="E72" i="7" s="1"/>
  <c r="G66" i="7"/>
  <c r="G70" i="7" s="1"/>
  <c r="G72" i="7" s="1"/>
  <c r="AA53" i="7"/>
  <c r="Y58" i="7"/>
  <c r="K49" i="7"/>
  <c r="Y41" i="15"/>
  <c r="AB56" i="15" s="1"/>
  <c r="M26" i="3" s="1"/>
  <c r="S4" i="7"/>
  <c r="Q5" i="7"/>
  <c r="O7" i="7"/>
  <c r="O11" i="7" s="1"/>
  <c r="O37" i="7" s="1"/>
  <c r="Q6" i="7"/>
  <c r="M45" i="7"/>
  <c r="M49" i="7"/>
  <c r="I62" i="7"/>
  <c r="I66" i="7" s="1"/>
  <c r="K47" i="7"/>
  <c r="K60" i="7"/>
  <c r="K48" i="7"/>
  <c r="U22" i="7"/>
  <c r="U35" i="7" s="1"/>
  <c r="W15" i="7"/>
  <c r="G83" i="21"/>
  <c r="E13" i="21" s="1"/>
  <c r="E16" i="21" s="1"/>
  <c r="H3" i="21" s="1"/>
  <c r="U9" i="7"/>
  <c r="W8" i="7"/>
  <c r="I67" i="7" l="1"/>
  <c r="I70" i="7" s="1"/>
  <c r="I72" i="7" s="1"/>
  <c r="AC53" i="7"/>
  <c r="AA58" i="7"/>
  <c r="AB57" i="15"/>
  <c r="U4" i="7"/>
  <c r="S5" i="7"/>
  <c r="P204" i="3"/>
  <c r="M48" i="7"/>
  <c r="M47" i="7"/>
  <c r="M60" i="7"/>
  <c r="O45" i="7"/>
  <c r="O49" i="7"/>
  <c r="K62" i="7"/>
  <c r="K67" i="7" s="1"/>
  <c r="Q7" i="7"/>
  <c r="Q11" i="7" s="1"/>
  <c r="Q37" i="7" s="1"/>
  <c r="S6" i="7"/>
  <c r="W22" i="7"/>
  <c r="W35" i="7" s="1"/>
  <c r="Y15" i="7"/>
  <c r="W9" i="7"/>
  <c r="Y8" i="7"/>
  <c r="K66" i="7" l="1"/>
  <c r="AE53" i="7"/>
  <c r="AC58" i="7"/>
  <c r="AB59" i="15"/>
  <c r="AB76" i="15" s="1"/>
  <c r="AB77" i="15" s="1"/>
  <c r="AB78" i="15" s="1"/>
  <c r="U5" i="7"/>
  <c r="W4" i="7"/>
  <c r="Q49" i="7"/>
  <c r="Q45" i="7"/>
  <c r="M62" i="7"/>
  <c r="M67" i="7" s="1"/>
  <c r="O47" i="7"/>
  <c r="O48" i="7"/>
  <c r="O60" i="7"/>
  <c r="K70" i="7"/>
  <c r="K72" i="7" s="1"/>
  <c r="S7" i="7"/>
  <c r="S11" i="7" s="1"/>
  <c r="S37" i="7" s="1"/>
  <c r="U6" i="7"/>
  <c r="Y22" i="7"/>
  <c r="Y35" i="7" s="1"/>
  <c r="AA15" i="7"/>
  <c r="Y9" i="7"/>
  <c r="AA8" i="7"/>
  <c r="M66" i="7" l="1"/>
  <c r="M70" i="7" s="1"/>
  <c r="M72" i="7" s="1"/>
  <c r="AG53" i="7"/>
  <c r="AG58" i="7" s="1"/>
  <c r="AE58" i="7"/>
  <c r="M27" i="3"/>
  <c r="I10" i="21"/>
  <c r="I11" i="21" s="1"/>
  <c r="I16" i="21" s="1"/>
  <c r="H4" i="21" s="1"/>
  <c r="H5" i="21" s="1"/>
  <c r="W5" i="7"/>
  <c r="Y4" i="7"/>
  <c r="AB80" i="15"/>
  <c r="J81" i="15" s="1"/>
  <c r="U7" i="7"/>
  <c r="U11" i="7" s="1"/>
  <c r="U37" i="7" s="1"/>
  <c r="W6" i="7"/>
  <c r="O62" i="7"/>
  <c r="O67" i="7" s="1"/>
  <c r="Q60" i="7"/>
  <c r="Q48" i="7"/>
  <c r="Q47" i="7"/>
  <c r="S49" i="7"/>
  <c r="S45" i="7"/>
  <c r="AC15" i="7"/>
  <c r="AA22" i="7"/>
  <c r="AA35" i="7" s="1"/>
  <c r="AC8" i="7"/>
  <c r="AA9" i="7"/>
  <c r="O66" i="7" l="1"/>
  <c r="O70" i="7" s="1"/>
  <c r="O72" i="7" s="1"/>
  <c r="P205" i="3"/>
  <c r="AA4" i="7"/>
  <c r="Y5" i="7"/>
  <c r="Y6" i="7"/>
  <c r="W7" i="7"/>
  <c r="W11" i="7" s="1"/>
  <c r="W37" i="7" s="1"/>
  <c r="U45" i="7"/>
  <c r="U49" i="7"/>
  <c r="Q62" i="7"/>
  <c r="Q66" i="7" s="1"/>
  <c r="S48" i="7"/>
  <c r="S47" i="7"/>
  <c r="S60" i="7"/>
  <c r="AE15" i="7"/>
  <c r="AC22" i="7"/>
  <c r="AC35" i="7" s="1"/>
  <c r="AC9" i="7"/>
  <c r="AE8" i="7"/>
  <c r="Q67" i="7" l="1"/>
  <c r="Q70" i="7" s="1"/>
  <c r="Q72" i="7" s="1"/>
  <c r="AA5" i="7"/>
  <c r="AC4" i="7"/>
  <c r="S62" i="7"/>
  <c r="S67" i="7" s="1"/>
  <c r="U48" i="7"/>
  <c r="U60" i="7"/>
  <c r="U47" i="7"/>
  <c r="W49" i="7"/>
  <c r="W45" i="7"/>
  <c r="Y7" i="7"/>
  <c r="Y11" i="7" s="1"/>
  <c r="Y37" i="7" s="1"/>
  <c r="AA6" i="7"/>
  <c r="AE22" i="7"/>
  <c r="AE35" i="7" s="1"/>
  <c r="AG15" i="7"/>
  <c r="AG22" i="7" s="1"/>
  <c r="AG35" i="7" s="1"/>
  <c r="AE9" i="7"/>
  <c r="AG8" i="7"/>
  <c r="AG9" i="7" s="1"/>
  <c r="S66" i="7" l="1"/>
  <c r="S70" i="7" s="1"/>
  <c r="S72" i="7" s="1"/>
  <c r="AC5" i="7"/>
  <c r="AE4" i="7"/>
  <c r="AC6" i="7"/>
  <c r="AA7" i="7"/>
  <c r="AA11" i="7" s="1"/>
  <c r="AA37" i="7" s="1"/>
  <c r="U62" i="7"/>
  <c r="U66" i="7" s="1"/>
  <c r="Y49" i="7"/>
  <c r="Y45" i="7"/>
  <c r="W60" i="7"/>
  <c r="W47" i="7"/>
  <c r="W48" i="7"/>
  <c r="U67" i="7" l="1"/>
  <c r="U70" i="7" s="1"/>
  <c r="U72" i="7" s="1"/>
  <c r="AE5" i="7"/>
  <c r="AG4" i="7"/>
  <c r="AG5" i="7" s="1"/>
  <c r="AA45" i="7"/>
  <c r="AA49" i="7"/>
  <c r="W62" i="7"/>
  <c r="W67" i="7" s="1"/>
  <c r="Y47" i="7"/>
  <c r="Y48" i="7"/>
  <c r="Y60" i="7"/>
  <c r="AE6" i="7"/>
  <c r="AC7" i="7"/>
  <c r="AC11" i="7" s="1"/>
  <c r="AC37" i="7" s="1"/>
  <c r="W66" i="7" l="1"/>
  <c r="W70" i="7" s="1"/>
  <c r="W72" i="7" s="1"/>
  <c r="AA60" i="7"/>
  <c r="AA47" i="7"/>
  <c r="AA48" i="7"/>
  <c r="AC45" i="7"/>
  <c r="AC49" i="7"/>
  <c r="AE7" i="7"/>
  <c r="AE11" i="7" s="1"/>
  <c r="AE37" i="7" s="1"/>
  <c r="AG6" i="7"/>
  <c r="Y62" i="7"/>
  <c r="Y67" i="7" s="1"/>
  <c r="Y66" i="7" l="1"/>
  <c r="Y70" i="7" s="1"/>
  <c r="Y72" i="7" s="1"/>
  <c r="AG7" i="7"/>
  <c r="AG11" i="7" s="1"/>
  <c r="AG37" i="7" s="1"/>
  <c r="AE49" i="7"/>
  <c r="AE45" i="7"/>
  <c r="AC60" i="7"/>
  <c r="AC48" i="7"/>
  <c r="AC47" i="7"/>
  <c r="AA62" i="7"/>
  <c r="AA67" i="7" s="1"/>
  <c r="AA66" i="7" l="1"/>
  <c r="AA70" i="7" s="1"/>
  <c r="AA72" i="7" s="1"/>
  <c r="AC62" i="7"/>
  <c r="AC67" i="7" s="1"/>
  <c r="AE47" i="7"/>
  <c r="AE60" i="7"/>
  <c r="AE48" i="7"/>
  <c r="AG49" i="7"/>
  <c r="AG45" i="7"/>
  <c r="AC66" i="7" l="1"/>
  <c r="AC70" i="7" s="1"/>
  <c r="AC72" i="7" s="1"/>
  <c r="AG48" i="7"/>
  <c r="AG60" i="7"/>
  <c r="AG47" i="7"/>
  <c r="AE62" i="7"/>
  <c r="AE67" i="7" s="1"/>
  <c r="AE66" i="7" l="1"/>
  <c r="AE70" i="7" s="1"/>
  <c r="AE72" i="7" s="1"/>
  <c r="AG62" i="7"/>
  <c r="AG66" i="7" s="1"/>
  <c r="AG67" i="7" l="1"/>
  <c r="AG70" i="7" s="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D7B57651-3E28-41D7-9C5F-C100E6D75845}">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<sst xmlns="http://schemas.openxmlformats.org/spreadsheetml/2006/main" count="5331" uniqueCount="2797">
  <si>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</si>
  <si>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</si>
  <si>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</si>
  <si>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</si>
  <si>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</si>
  <si>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</si>
  <si>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</si>
  <si>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</si>
  <si>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</si>
  <si>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</si>
  <si>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</si>
  <si>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</si>
  <si>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</si>
  <si>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</si>
  <si>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</si>
  <si>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</si>
  <si>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</si>
  <si>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</si>
  <si>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</si>
  <si>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</si>
  <si>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</si>
  <si>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</si>
  <si>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</si>
  <si>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</si>
  <si>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</si>
  <si>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</si>
  <si>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</si>
  <si>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</si>
  <si>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</si>
  <si>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</si>
  <si>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</si>
  <si>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</si>
  <si>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</si>
  <si>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</si>
  <si>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</si>
  <si>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</si>
  <si>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</si>
  <si>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</si>
  <si>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</si>
  <si>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</si>
  <si>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</si>
  <si>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</si>
  <si>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</si>
  <si>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</si>
  <si>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</si>
  <si>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</si>
  <si>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</si>
  <si>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</si>
  <si>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</si>
  <si>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</si>
  <si>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</si>
  <si>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</si>
  <si>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</si>
  <si>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</si>
  <si>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</si>
  <si>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</si>
  <si>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</si>
  <si>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</si>
  <si>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</si>
  <si>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</si>
  <si>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</si>
  <si>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</si>
  <si>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</si>
  <si>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</si>
  <si>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</si>
  <si>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</si>
  <si>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</si>
  <si>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</si>
  <si>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</si>
  <si>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</si>
  <si>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</si>
  <si>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</si>
  <si>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</si>
  <si>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</si>
  <si>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</si>
  <si>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</si>
  <si>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</si>
  <si>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</si>
  <si>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</si>
  <si>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</si>
  <si>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</si>
  <si>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</si>
  <si>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</si>
  <si>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</si>
  <si>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</si>
  <si>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</si>
  <si>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</si>
  <si>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</si>
  <si>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</si>
  <si>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</si>
  <si>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</si>
  <si>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</si>
  <si>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</si>
  <si>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</si>
  <si>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</si>
  <si>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</si>
  <si>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</si>
  <si>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</si>
  <si>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</si>
  <si>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</si>
  <si>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</si>
  <si>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</si>
  <si>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</si>
  <si>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</si>
  <si>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</si>
  <si>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</si>
  <si>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</si>
  <si>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</si>
  <si>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</si>
  <si>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</si>
  <si>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</si>
  <si>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</si>
  <si>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</si>
  <si>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</si>
  <si>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</si>
  <si>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</si>
  <si>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</si>
  <si>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</si>
  <si>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</si>
  <si>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</si>
  <si>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</si>
  <si>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</si>
  <si>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</si>
  <si>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</si>
  <si>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</si>
  <si>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</si>
  <si>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</si>
  <si>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</si>
  <si>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</si>
  <si>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</si>
  <si>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</si>
  <si>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</si>
  <si>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</si>
  <si>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</si>
  <si>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</si>
  <si>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</si>
  <si>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</si>
  <si>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</si>
  <si>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</si>
  <si>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</si>
  <si>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</si>
  <si>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</si>
  <si>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</si>
  <si>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</si>
  <si>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</si>
  <si>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</si>
  <si>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</si>
  <si>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</si>
  <si>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</si>
  <si>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</si>
  <si>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</si>
  <si>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</si>
  <si>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</si>
  <si>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</si>
  <si>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</si>
  <si>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</si>
  <si>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</si>
  <si>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</si>
  <si>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</si>
  <si>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</si>
  <si>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</si>
  <si>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</si>
  <si>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</si>
  <si>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</si>
  <si>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</si>
  <si>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</si>
  <si>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</si>
  <si>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</si>
  <si>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</si>
  <si>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</si>
  <si>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</si>
  <si>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</si>
  <si>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</si>
  <si>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</si>
  <si>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</si>
  <si>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</si>
  <si>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</si>
  <si>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</si>
  <si>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</si>
  <si>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</si>
  <si>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</si>
  <si>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</si>
  <si>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</si>
  <si>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</si>
  <si>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</si>
  <si>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</si>
  <si>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</si>
  <si>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</si>
  <si>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</si>
  <si>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</si>
  <si>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</si>
  <si>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</si>
  <si>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</si>
  <si>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</si>
  <si>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</si>
  <si>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</si>
  <si>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</si>
  <si>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</si>
  <si>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</si>
  <si>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</si>
  <si>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</si>
  <si>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</si>
  <si>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</si>
  <si>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</si>
  <si>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</si>
  <si>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</si>
  <si>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</si>
  <si>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</si>
  <si>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</si>
  <si>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</si>
  <si>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</si>
  <si>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</si>
  <si>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</si>
  <si>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</si>
  <si>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</si>
  <si>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</si>
  <si>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</si>
  <si>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</si>
  <si>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</si>
  <si>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</si>
  <si>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</si>
  <si>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</si>
  <si>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</si>
  <si>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</si>
  <si>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</si>
  <si>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</si>
  <si>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</si>
  <si>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</si>
  <si>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</si>
  <si>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</si>
  <si>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</si>
  <si>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</si>
  <si>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</si>
  <si>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</si>
  <si>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</si>
  <si>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</si>
  <si>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</si>
  <si>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</si>
  <si>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</si>
  <si>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</si>
  <si>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</si>
  <si>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</si>
  <si>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</si>
  <si>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</si>
  <si>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</si>
  <si>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</si>
  <si>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</si>
  <si>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</si>
  <si>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</si>
  <si>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</si>
  <si>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</si>
  <si>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</si>
  <si>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</si>
  <si>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</si>
  <si>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</si>
  <si>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</si>
  <si>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</si>
  <si>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</si>
  <si>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</si>
  <si>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</si>
  <si>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</si>
  <si>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</si>
  <si>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</si>
  <si>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</si>
  <si>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</si>
  <si>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</si>
  <si>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</si>
  <si>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</si>
  <si>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</si>
  <si>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</si>
  <si>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</si>
  <si>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</si>
  <si>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</si>
  <si>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</si>
  <si>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</si>
  <si>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</si>
  <si>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</si>
  <si>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</si>
  <si>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</si>
  <si>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</si>
  <si>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</si>
  <si>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</si>
  <si>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</si>
  <si>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</si>
  <si>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</si>
  <si>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</si>
  <si>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</si>
  <si>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</si>
  <si>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</si>
  <si>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</si>
  <si>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</si>
  <si>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</si>
  <si>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</si>
  <si>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</si>
  <si>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</si>
  <si>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</si>
  <si>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</si>
  <si>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</si>
  <si>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</si>
  <si>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</si>
  <si>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</si>
  <si>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</si>
  <si>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</si>
  <si>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</si>
  <si>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</si>
  <si>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</si>
  <si>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</si>
  <si>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</si>
  <si>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</si>
  <si>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</si>
  <si>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</si>
  <si>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</si>
  <si>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</si>
  <si>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</si>
  <si>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</si>
  <si>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</si>
  <si>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</si>
  <si>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</si>
  <si>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</si>
  <si>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</si>
  <si>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</si>
  <si>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</si>
  <si>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</si>
  <si>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</si>
  <si>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</si>
  <si>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</si>
  <si>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</si>
  <si>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</si>
  <si>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</si>
  <si>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</si>
  <si>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</si>
  <si>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</si>
  <si>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</si>
  <si>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</si>
  <si>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</si>
  <si>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</si>
  <si>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</si>
  <si>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</si>
  <si>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</si>
  <si>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</si>
  <si>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</si>
  <si>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</si>
  <si>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</si>
  <si>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</si>
  <si>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</si>
  <si>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</si>
  <si>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</si>
  <si>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</si>
  <si>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</si>
  <si>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</si>
  <si>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</si>
  <si>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</si>
  <si>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</si>
  <si>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</si>
  <si>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</si>
  <si>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</si>
  <si>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</si>
  <si>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</si>
  <si>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</si>
  <si>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</si>
  <si>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</si>
  <si>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</si>
  <si>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</si>
  <si>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</si>
  <si>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</si>
  <si>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</si>
  <si>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</si>
  <si>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</si>
  <si>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</si>
  <si>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</si>
  <si>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</si>
  <si>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</si>
  <si>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</si>
  <si>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</si>
  <si>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</si>
  <si>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</si>
  <si>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</si>
  <si>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</si>
  <si>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</si>
  <si>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</si>
  <si>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</si>
  <si>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</si>
  <si>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</si>
  <si>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</si>
  <si>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</si>
  <si>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</si>
  <si>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</si>
  <si>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</si>
  <si>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</si>
  <si>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</si>
  <si>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</si>
  <si>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</si>
  <si>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</si>
  <si>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</si>
  <si>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</si>
  <si>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</si>
  <si>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</si>
  <si>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</si>
  <si>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</si>
  <si>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</si>
  <si>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</si>
  <si>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</si>
  <si>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</si>
  <si>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</si>
  <si>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</si>
  <si>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</si>
  <si>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</si>
  <si>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</si>
  <si>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</si>
  <si>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</si>
  <si>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</si>
  <si>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</si>
  <si>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</si>
  <si>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</si>
  <si>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</si>
  <si>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</si>
  <si>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</si>
  <si>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</si>
  <si>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</si>
  <si>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</si>
  <si>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</si>
  <si>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</si>
  <si>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</si>
  <si>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</si>
  <si>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</si>
  <si>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</si>
  <si>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</si>
  <si>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</si>
  <si>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</si>
  <si>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</si>
  <si>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</si>
  <si>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</si>
  <si>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</si>
  <si>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</si>
  <si>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</si>
  <si>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</si>
  <si>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</si>
  <si>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</si>
  <si>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</si>
  <si>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</si>
  <si>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</si>
  <si>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</si>
  <si>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</si>
  <si>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</si>
  <si>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</si>
  <si>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</si>
  <si>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</si>
  <si>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</si>
  <si>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</si>
  <si>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</si>
  <si>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</si>
  <si>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</si>
  <si>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</si>
  <si>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</si>
  <si>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</si>
  <si>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</si>
  <si>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</si>
  <si>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</si>
  <si>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</si>
  <si>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</si>
  <si>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</si>
  <si>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</si>
  <si>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</si>
  <si>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</si>
  <si>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</si>
  <si>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</si>
  <si>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</si>
  <si>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</si>
  <si>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</si>
  <si>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</si>
  <si>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</si>
  <si>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</si>
  <si>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</si>
  <si>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</si>
  <si>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</si>
  <si>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</si>
  <si>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</si>
  <si>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</si>
  <si>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</si>
  <si>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</si>
  <si>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</si>
  <si>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</si>
  <si>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</si>
  <si>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</si>
  <si>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</si>
  <si>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</si>
  <si>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</si>
  <si>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</si>
  <si>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</si>
  <si>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</si>
  <si>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</si>
  <si>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</si>
  <si>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</si>
  <si>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</si>
  <si>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</si>
  <si>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</si>
  <si>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</si>
  <si>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</si>
  <si>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</si>
  <si>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</si>
  <si>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</si>
  <si>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</si>
  <si>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</si>
  <si>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</si>
  <si>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</si>
  <si>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</si>
  <si>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</si>
  <si>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</si>
  <si>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</si>
  <si>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</si>
  <si>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</si>
  <si>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</si>
  <si>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</si>
  <si>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</si>
  <si>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</si>
  <si>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</si>
  <si>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</si>
  <si>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</si>
  <si>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</si>
  <si>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</si>
  <si>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</si>
  <si>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</si>
  <si>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</si>
  <si>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</si>
  <si>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</si>
  <si>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</si>
  <si>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</si>
  <si>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</si>
  <si>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</si>
  <si>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</si>
  <si>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</si>
  <si>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</si>
  <si>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</si>
  <si>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</si>
  <si>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</si>
  <si>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</si>
  <si>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</si>
  <si>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</si>
  <si>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</si>
  <si>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</si>
  <si>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</si>
  <si>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</si>
  <si>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</si>
  <si>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</si>
  <si>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</si>
  <si>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</si>
  <si>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</si>
  <si>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</si>
  <si>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</si>
  <si>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</si>
  <si>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</si>
  <si>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</si>
  <si>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</si>
  <si>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</si>
  <si>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</si>
  <si>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</si>
  <si>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</si>
  <si>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</si>
  <si>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</si>
  <si>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</si>
  <si>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</si>
  <si>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</si>
  <si>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</si>
  <si>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</si>
  <si>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</si>
  <si>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</si>
  <si>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</si>
  <si>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</si>
  <si>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</si>
  <si>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</si>
  <si>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</si>
  <si>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</si>
  <si>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</si>
  <si>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</si>
  <si>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</si>
  <si>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</si>
  <si>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</si>
  <si>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</si>
  <si>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</si>
  <si>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</si>
  <si>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</si>
  <si>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</si>
  <si>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</si>
  <si>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</si>
  <si>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</si>
  <si>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</si>
  <si>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</si>
  <si>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</si>
  <si>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</si>
  <si>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</si>
  <si>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</si>
  <si>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</si>
  <si>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</si>
  <si>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</si>
  <si>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</si>
  <si>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</si>
  <si>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</si>
  <si>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</si>
  <si>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</si>
  <si>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</si>
  <si>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</si>
  <si>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</si>
  <si>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</si>
  <si>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</si>
  <si>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</si>
  <si>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</si>
  <si>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</si>
  <si>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</si>
  <si>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</si>
  <si>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</si>
  <si>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</si>
  <si>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</si>
  <si>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</si>
  <si>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</si>
  <si>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</si>
  <si>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</si>
  <si>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</si>
  <si>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</si>
  <si>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</si>
  <si>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</si>
  <si>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</si>
  <si>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</si>
  <si>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</si>
  <si>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</si>
  <si>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</si>
  <si>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</si>
  <si>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</si>
  <si>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</si>
  <si>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</si>
  <si>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</si>
  <si>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</si>
  <si>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</si>
  <si>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</si>
  <si>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</si>
  <si>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</si>
  <si>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</si>
  <si>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</si>
  <si>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</si>
  <si>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</si>
  <si>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</si>
  <si>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</si>
  <si>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</si>
  <si>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</si>
  <si>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</si>
  <si>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</si>
  <si>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</si>
  <si>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</si>
  <si>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</si>
  <si>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</si>
  <si>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</si>
  <si>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</si>
  <si>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</si>
  <si>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</si>
  <si>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</si>
  <si>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</si>
  <si>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</si>
  <si>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</si>
  <si>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</si>
  <si>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</si>
  <si>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</si>
  <si>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</si>
  <si>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</si>
  <si>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</si>
  <si>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</si>
  <si>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</si>
  <si>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</si>
  <si>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</si>
  <si>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</si>
  <si>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</si>
  <si>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</si>
  <si>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</si>
  <si>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</si>
  <si>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</si>
  <si>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</si>
  <si>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</si>
  <si>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</si>
  <si>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</si>
  <si>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</si>
  <si>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</si>
  <si>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</si>
  <si>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</si>
  <si>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</si>
  <si>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</si>
  <si>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</si>
  <si>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</si>
  <si>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</si>
  <si>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</si>
  <si>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</si>
  <si>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</si>
  <si>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</si>
  <si>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</si>
  <si>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</si>
  <si>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</si>
  <si>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</si>
  <si>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</si>
  <si>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</si>
  <si>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</si>
  <si>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</si>
  <si>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</si>
  <si>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</si>
  <si>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</si>
  <si>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</si>
  <si>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</si>
  <si>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</si>
  <si>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</si>
  <si>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</si>
  <si>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</si>
  <si>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</si>
  <si>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</si>
  <si>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</si>
  <si>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</si>
  <si>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</si>
  <si>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</si>
  <si>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</si>
  <si>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</si>
  <si>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</si>
  <si>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</si>
  <si>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</si>
  <si>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</si>
  <si>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</si>
  <si>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</si>
  <si>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</si>
  <si>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</si>
  <si>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</si>
  <si>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</si>
  <si>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</si>
  <si>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</si>
  <si>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</si>
  <si>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</si>
  <si>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</si>
  <si>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</si>
  <si>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</si>
  <si>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</si>
  <si>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</si>
  <si>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</si>
  <si>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</si>
  <si>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</si>
  <si>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</si>
  <si>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</si>
  <si>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</si>
  <si>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</si>
  <si>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</si>
  <si>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</si>
  <si>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</si>
  <si>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</si>
  <si>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</si>
  <si>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</si>
  <si>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</si>
  <si>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</si>
  <si>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</si>
  <si>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</si>
  <si>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</si>
  <si>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</si>
  <si>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</si>
  <si>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</si>
  <si>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</si>
  <si>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</si>
  <si>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</si>
  <si>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</si>
  <si>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</si>
  <si>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</si>
  <si>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</si>
  <si>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</si>
  <si>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</si>
  <si>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</si>
  <si>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</si>
  <si>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</si>
  <si>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</si>
  <si>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</si>
  <si>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</si>
  <si>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</si>
  <si>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</si>
  <si>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</si>
  <si>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</si>
  <si>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</si>
  <si>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</si>
  <si>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</si>
  <si>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</si>
  <si>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</si>
  <si>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</si>
  <si>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</si>
  <si>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</si>
  <si>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</si>
  <si>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</si>
  <si>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</si>
  <si>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</si>
  <si>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</si>
  <si>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</si>
  <si>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</si>
  <si>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</si>
  <si>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</si>
  <si>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</si>
  <si>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</si>
  <si>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</si>
  <si>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</si>
  <si>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</si>
  <si>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</si>
  <si>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</si>
  <si>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</si>
  <si>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</si>
  <si>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</si>
  <si>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</si>
  <si>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</si>
  <si>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</si>
  <si>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</si>
  <si>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</si>
  <si>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</si>
  <si>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</si>
  <si>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</si>
  <si>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</si>
  <si>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</si>
  <si>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</si>
  <si>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</si>
  <si>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</si>
  <si>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</si>
  <si>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</si>
  <si>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</si>
  <si>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</si>
  <si>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</si>
  <si>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</si>
  <si>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</si>
  <si>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</si>
  <si>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</si>
  <si>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</si>
  <si>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</si>
  <si>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</si>
  <si>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</si>
  <si>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</si>
  <si>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</si>
  <si>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</si>
  <si>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</si>
  <si>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</si>
  <si>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</si>
  <si>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</si>
  <si>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</si>
  <si>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</si>
  <si>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</si>
  <si>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</si>
  <si>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</si>
  <si>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</si>
  <si>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</si>
  <si>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</si>
  <si>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</si>
  <si>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</si>
  <si>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</si>
  <si>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</si>
  <si>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</si>
  <si>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</si>
  <si>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</si>
  <si>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</si>
  <si>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</si>
  <si>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</si>
  <si>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</si>
  <si>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</si>
  <si>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</si>
  <si>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</si>
  <si>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</si>
  <si>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</si>
  <si>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</si>
  <si>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</si>
  <si>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</si>
  <si>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</si>
  <si>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</si>
  <si>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</si>
  <si>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</si>
  <si>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</si>
  <si>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</si>
  <si>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</si>
  <si>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</si>
  <si>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</si>
  <si>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</si>
  <si>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</si>
  <si>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</si>
  <si>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</si>
  <si>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</si>
  <si>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</si>
  <si>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</si>
  <si>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</si>
  <si>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</si>
  <si>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</si>
  <si>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</si>
  <si>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</si>
  <si>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</si>
  <si>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</si>
  <si>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</si>
  <si>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</si>
  <si>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</si>
  <si>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</si>
  <si>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</si>
  <si>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</si>
  <si>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</si>
  <si>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</si>
  <si>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</si>
  <si>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</si>
  <si>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</si>
  <si>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</si>
  <si>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</si>
  <si>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</si>
  <si>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</si>
  <si>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</si>
  <si>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</si>
  <si>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</si>
  <si>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</si>
  <si>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</si>
  <si>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</si>
  <si>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</si>
  <si>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</si>
  <si>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</si>
  <si>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</si>
  <si>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</si>
  <si>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</si>
  <si>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</si>
  <si>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</si>
  <si>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</si>
  <si>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</si>
  <si>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</si>
  <si>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</si>
  <si>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</si>
  <si>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</si>
  <si>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</si>
  <si>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</si>
  <si>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</si>
  <si>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</si>
  <si>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</si>
  <si>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</si>
  <si>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</si>
  <si>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</si>
  <si>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</si>
  <si>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</si>
  <si>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</si>
  <si>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</si>
  <si>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</si>
  <si>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</si>
  <si>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</si>
  <si>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</si>
  <si>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</si>
  <si>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</si>
  <si>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</si>
  <si>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</si>
  <si>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</si>
  <si>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</si>
  <si>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</si>
  <si>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</si>
  <si>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</si>
  <si>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</si>
  <si>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</si>
  <si>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</si>
  <si>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</si>
  <si>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</si>
  <si>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</si>
  <si>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</si>
  <si>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</si>
  <si>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</si>
  <si>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</si>
  <si>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</si>
  <si>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</si>
  <si>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</si>
  <si>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</si>
  <si>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</si>
  <si>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</si>
  <si>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</si>
  <si>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</si>
  <si>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</si>
  <si>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</si>
  <si>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</si>
  <si>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</si>
  <si>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</si>
  <si>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</si>
  <si>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</si>
  <si>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</si>
  <si>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</si>
  <si>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</si>
  <si>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</si>
  <si>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</si>
  <si>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</si>
  <si>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</si>
  <si>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</si>
  <si>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</si>
  <si>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</si>
  <si>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</si>
  <si>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</si>
  <si>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</si>
  <si>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</si>
  <si>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</si>
  <si>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</si>
  <si>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</si>
  <si>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</si>
  <si>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</si>
  <si>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</si>
  <si>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</si>
  <si>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</si>
  <si>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</si>
  <si>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</si>
  <si>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</si>
  <si>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</si>
  <si>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</si>
  <si>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</si>
  <si>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</si>
  <si>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</si>
  <si>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</si>
  <si>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</si>
  <si>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</si>
  <si>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</si>
  <si>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</si>
  <si>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</si>
  <si>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</si>
  <si>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</si>
  <si>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</si>
  <si>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</si>
  <si>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</si>
  <si>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</si>
  <si>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</si>
  <si>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</si>
  <si>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</si>
  <si>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</si>
  <si>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</si>
  <si>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</si>
  <si>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</si>
  <si>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</si>
  <si>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</si>
  <si>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</si>
  <si>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</si>
  <si>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</si>
  <si>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</si>
  <si>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</si>
  <si>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</si>
  <si>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</si>
  <si>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</si>
  <si>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</si>
  <si>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</si>
  <si>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</si>
  <si>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</si>
  <si>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</si>
  <si>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</si>
  <si>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</si>
  <si>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</si>
  <si>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</si>
  <si>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</si>
  <si>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</si>
  <si>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</si>
  <si>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</si>
  <si>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</si>
  <si>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</si>
  <si>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</si>
  <si>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</si>
  <si>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</si>
  <si>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</si>
  <si>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</si>
  <si>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</si>
  <si>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</si>
  <si>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</si>
  <si>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</si>
  <si>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</si>
  <si>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</si>
  <si>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</si>
  <si>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</si>
  <si>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</si>
  <si>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</si>
  <si>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</si>
  <si>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</si>
  <si>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</si>
  <si>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</si>
  <si>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</si>
  <si>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</si>
  <si>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</si>
  <si>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</si>
  <si>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</si>
  <si>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</si>
  <si>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</si>
  <si>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</si>
  <si>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</si>
  <si>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</si>
  <si>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</si>
  <si>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</si>
  <si>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</si>
  <si>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</si>
  <si>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</si>
  <si>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</si>
  <si>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</si>
  <si>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</si>
  <si>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</si>
  <si>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</si>
  <si>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</si>
  <si>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</si>
  <si>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</si>
  <si>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</si>
  <si>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</si>
  <si>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</si>
  <si>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</si>
  <si>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</si>
  <si>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</si>
  <si>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</si>
  <si>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</si>
  <si>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</si>
  <si>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</si>
  <si>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</si>
  <si>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</si>
  <si>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</si>
  <si>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</si>
  <si>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</si>
  <si>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</si>
  <si>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</si>
  <si>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</si>
  <si>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</si>
  <si>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</si>
  <si>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</si>
  <si>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</si>
  <si>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</si>
  <si>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</si>
  <si>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</si>
  <si>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</si>
  <si>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</si>
  <si>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</si>
  <si>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</si>
  <si>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</si>
  <si>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</si>
  <si>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</si>
  <si>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</si>
  <si>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</si>
  <si>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</si>
  <si>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</si>
  <si>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</si>
  <si>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</si>
  <si>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</si>
  <si>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</si>
  <si>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</si>
  <si>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</si>
  <si>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</si>
  <si>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</si>
  <si>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</si>
  <si>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</si>
  <si>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</si>
  <si>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</si>
  <si>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</si>
  <si>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</si>
  <si>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</si>
  <si>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</si>
  <si>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</si>
  <si>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</si>
  <si>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</si>
  <si>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</si>
  <si>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</si>
  <si>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</si>
  <si>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</si>
  <si>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</si>
  <si>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</si>
  <si>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</si>
  <si>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</si>
  <si>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</si>
  <si>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</si>
  <si>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</si>
  <si>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</si>
  <si>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</si>
  <si>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</si>
  <si>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</si>
  <si>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</si>
  <si>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</si>
  <si>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</si>
  <si>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</si>
  <si>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</si>
  <si>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</si>
  <si>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</si>
  <si>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</si>
  <si>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</si>
  <si>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</si>
  <si>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</si>
  <si>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</si>
  <si>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</si>
  <si>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</si>
  <si>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</si>
  <si>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</si>
  <si>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</si>
  <si>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</si>
  <si>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</si>
  <si>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</si>
  <si>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</si>
  <si>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</si>
  <si>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</si>
  <si>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</si>
  <si>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</si>
  <si>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</si>
  <si>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</si>
  <si>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</si>
  <si>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</si>
  <si>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</si>
  <si>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</si>
  <si>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</si>
  <si>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</si>
  <si>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</si>
  <si>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</si>
  <si>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</si>
  <si>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</si>
  <si>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</si>
  <si>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</si>
  <si>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</si>
  <si>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</si>
  <si>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</si>
  <si>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</si>
  <si>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</si>
  <si>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</si>
  <si>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</si>
  <si>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</si>
  <si>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</si>
  <si>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</si>
  <si>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</si>
  <si>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</si>
  <si>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</si>
  <si>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</si>
  <si>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</si>
  <si>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</si>
  <si>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</si>
  <si>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</si>
  <si>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</si>
  <si>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</si>
  <si>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</si>
  <si>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</si>
  <si>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</si>
  <si>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</si>
  <si>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</si>
  <si>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</si>
  <si>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</si>
  <si>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</si>
  <si>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</si>
  <si>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</si>
  <si>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</si>
  <si>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</si>
  <si>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</si>
  <si>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</si>
  <si>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</si>
  <si>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</si>
  <si>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</si>
  <si>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</si>
  <si>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</si>
  <si>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</si>
  <si>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</si>
  <si>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</si>
  <si>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</si>
  <si>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</si>
  <si>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</si>
  <si>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</si>
  <si>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</si>
  <si>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</si>
  <si>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</si>
  <si>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</si>
  <si>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</si>
  <si>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</si>
  <si>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</si>
  <si>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</si>
  <si>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</si>
  <si>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</si>
  <si>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</si>
  <si>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</si>
  <si>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</si>
  <si>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</si>
  <si>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</si>
  <si>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</si>
  <si>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</si>
  <si>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</si>
  <si>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</si>
  <si>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</si>
  <si>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</si>
  <si>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</si>
  <si>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</si>
  <si>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</si>
  <si>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</si>
  <si>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</si>
  <si>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</si>
  <si>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</si>
  <si>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</si>
  <si>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</si>
  <si>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</si>
  <si>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</si>
  <si>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</si>
  <si>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</si>
  <si>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</si>
  <si>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</si>
  <si>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</si>
  <si>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</si>
  <si>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</si>
  <si>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</si>
  <si>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</si>
  <si>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</si>
  <si>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</si>
  <si>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</si>
  <si>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</si>
  <si>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</si>
  <si>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</si>
  <si>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</si>
  <si>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</si>
  <si>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</si>
  <si>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</si>
  <si>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</si>
  <si>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</si>
  <si>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</si>
  <si>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</si>
  <si>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</si>
  <si>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</si>
  <si>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</si>
  <si>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</si>
  <si>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</si>
  <si>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</si>
  <si>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</si>
  <si>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</si>
  <si>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</si>
  <si>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</si>
  <si>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</si>
  <si>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</si>
  <si>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</si>
  <si>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</si>
  <si>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</si>
  <si>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</si>
  <si>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</si>
  <si>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</si>
  <si>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</si>
  <si>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</si>
  <si>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</si>
  <si>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</si>
  <si>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</si>
  <si>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</si>
  <si>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</si>
  <si>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</si>
  <si>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</si>
  <si>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</si>
  <si>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</si>
  <si>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</si>
  <si>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</si>
  <si>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</si>
  <si>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</si>
  <si>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</si>
  <si>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</si>
  <si>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</si>
  <si>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</si>
  <si>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</si>
  <si>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</si>
  <si>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</si>
  <si>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</si>
  <si>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</si>
  <si>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</si>
  <si>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</si>
  <si>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</si>
  <si>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</si>
  <si>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</si>
  <si>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</si>
  <si>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</si>
  <si>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</si>
  <si>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</si>
  <si>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</si>
  <si>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</si>
  <si>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</si>
  <si>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</si>
  <si>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</si>
  <si>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</si>
  <si>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</si>
  <si>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</si>
  <si>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</si>
  <si>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</si>
  <si>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</si>
  <si>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</si>
  <si>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</si>
  <si>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</si>
  <si>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</si>
  <si>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</si>
  <si>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</si>
  <si>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</si>
  <si>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</si>
  <si>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</si>
  <si>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</si>
  <si>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</si>
  <si>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</si>
  <si>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</si>
  <si>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</si>
  <si>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</si>
  <si>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</si>
  <si>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</si>
  <si>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</si>
  <si>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</si>
  <si>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</si>
  <si>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</si>
  <si>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</si>
  <si>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</si>
  <si>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</si>
  <si>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</si>
  <si>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</si>
  <si>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</si>
  <si>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</si>
  <si>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</si>
  <si>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</si>
  <si>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</si>
  <si>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</si>
  <si>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</si>
  <si>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</si>
  <si>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</si>
  <si>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</si>
  <si>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</si>
  <si>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</si>
  <si>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</si>
  <si>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</si>
  <si>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</si>
  <si>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</si>
  <si>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</si>
  <si>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</si>
  <si>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</si>
  <si>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</si>
  <si>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</si>
  <si>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</si>
  <si>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</si>
  <si>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</si>
  <si>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</si>
  <si>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</si>
  <si>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</si>
  <si>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</si>
  <si>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</si>
  <si>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</si>
  <si>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</si>
  <si>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</si>
  <si>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</si>
  <si>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</si>
  <si>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</si>
  <si>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</si>
  <si>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</si>
  <si>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</si>
  <si>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</si>
  <si>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</si>
  <si>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</si>
  <si>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</si>
  <si>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</si>
  <si>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</si>
  <si>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</si>
  <si>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</si>
  <si>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</si>
  <si>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</si>
  <si>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</si>
  <si>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</si>
  <si>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</si>
  <si>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</si>
  <si>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</si>
  <si>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</si>
  <si>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</si>
  <si>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</si>
  <si>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</si>
  <si>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</si>
  <si>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</si>
  <si>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</si>
  <si>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</si>
  <si>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</si>
  <si>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</si>
  <si>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</si>
  <si>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</si>
  <si>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</si>
  <si>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</si>
  <si>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</si>
  <si>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</si>
  <si>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</si>
  <si>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</si>
  <si>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</si>
  <si>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</si>
  <si>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</si>
  <si>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</si>
  <si>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</si>
  <si>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</si>
  <si>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</si>
  <si>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</si>
  <si>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</si>
  <si>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</si>
  <si>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</si>
  <si>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</si>
  <si>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</si>
  <si>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</si>
  <si>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</si>
  <si>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</si>
  <si>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</si>
  <si>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</si>
  <si>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</si>
  <si>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</si>
  <si>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</si>
  <si>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</si>
  <si>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</si>
  <si>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</si>
  <si>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</si>
  <si>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</si>
  <si>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</si>
  <si>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</si>
  <si>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</si>
  <si>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</si>
  <si>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</si>
  <si>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</si>
  <si>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</si>
  <si>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</si>
  <si>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</si>
  <si>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</si>
  <si>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</si>
  <si>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</si>
  <si>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</si>
  <si>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</si>
  <si>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</si>
  <si>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</si>
  <si>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</si>
  <si>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</si>
  <si>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</si>
  <si>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</si>
  <si>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</si>
  <si>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</si>
  <si>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</si>
  <si>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</si>
  <si>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</si>
  <si>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</si>
  <si>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</si>
  <si>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</si>
  <si>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</si>
  <si>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</si>
  <si>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</si>
  <si>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</si>
  <si>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</si>
  <si>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</si>
  <si>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</si>
  <si>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</si>
  <si>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</si>
  <si>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</si>
  <si>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</si>
  <si>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</si>
  <si>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</si>
  <si>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</si>
  <si>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</si>
  <si>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</si>
  <si>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</si>
  <si>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</si>
  <si>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</si>
  <si>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</si>
  <si>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</si>
  <si>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</si>
  <si>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</si>
  <si>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</si>
  <si>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</si>
  <si>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</si>
  <si>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</si>
  <si>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</si>
  <si>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</si>
  <si>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</si>
  <si>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</si>
  <si>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</si>
  <si>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</si>
  <si>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</si>
  <si>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</si>
  <si>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</si>
  <si>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</si>
  <si>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</si>
  <si>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</si>
  <si>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</si>
  <si>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</si>
  <si>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</si>
  <si>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</si>
  <si>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</si>
  <si>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</si>
  <si>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</si>
  <si>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</si>
  <si>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</si>
  <si>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</si>
  <si>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</si>
  <si>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</si>
  <si>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</si>
  <si>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</si>
  <si>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</si>
  <si>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</si>
  <si>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</si>
  <si>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</si>
  <si>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</si>
  <si>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</si>
  <si>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</si>
  <si>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</si>
  <si>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</si>
  <si>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</si>
  <si>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</si>
  <si>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</si>
  <si>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</si>
  <si>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</si>
  <si>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</si>
  <si>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</si>
  <si>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</si>
  <si>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</si>
  <si>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</si>
  <si>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</si>
  <si>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</si>
  <si>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</si>
  <si>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</si>
  <si>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</si>
  <si>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</si>
  <si>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</si>
  <si>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</si>
  <si>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</si>
  <si>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</si>
  <si>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</si>
  <si>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</si>
  <si>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</si>
  <si>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</si>
  <si>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</si>
  <si>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</si>
  <si>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</si>
  <si>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</si>
  <si>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</si>
  <si>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</si>
  <si>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</si>
  <si>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</si>
  <si>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</si>
  <si>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</si>
  <si>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</si>
  <si>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</si>
  <si>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</si>
  <si>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</si>
  <si>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</si>
  <si>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</si>
  <si>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</si>
  <si>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</si>
  <si>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</si>
  <si>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</si>
  <si>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</si>
  <si>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</si>
  <si>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</si>
  <si>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</si>
  <si>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</si>
  <si>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</si>
  <si>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</si>
  <si>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</si>
  <si>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</si>
  <si>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</si>
  <si>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</si>
  <si>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</si>
  <si>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</si>
  <si>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</si>
  <si>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</si>
  <si>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</si>
  <si>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</si>
  <si>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</si>
  <si>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</si>
  <si>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</si>
  <si>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</si>
  <si>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</si>
  <si>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</si>
  <si>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</si>
  <si>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</si>
  <si>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</si>
  <si>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</si>
  <si>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</si>
  <si>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</si>
  <si>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</si>
  <si>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</si>
  <si>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</si>
  <si>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</si>
  <si>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</si>
  <si>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</si>
  <si>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</si>
  <si>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</si>
  <si>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</si>
  <si>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</si>
  <si>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</si>
  <si>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</si>
  <si>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</si>
  <si>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</si>
  <si>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</si>
  <si>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</si>
  <si>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</si>
  <si>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</si>
  <si>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</si>
  <si>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</si>
  <si>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</si>
  <si>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</si>
  <si>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</si>
  <si>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</si>
  <si>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</si>
  <si>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</si>
  <si>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</si>
  <si>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</si>
  <si>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</si>
  <si>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</si>
  <si>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</si>
  <si>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</si>
  <si>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</si>
  <si>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</si>
  <si>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</si>
  <si>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</si>
  <si>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</si>
  <si>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</si>
  <si>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</si>
  <si>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</si>
  <si>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</si>
  <si>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</si>
  <si>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</si>
  <si>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</si>
  <si>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</si>
  <si>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</si>
  <si>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</si>
  <si>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</si>
  <si>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</si>
  <si>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</si>
  <si>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</si>
  <si>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</si>
  <si>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</si>
  <si>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</si>
  <si>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</si>
  <si>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</si>
  <si>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</si>
  <si>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</si>
  <si>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</si>
  <si>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</si>
  <si>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</si>
  <si>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</si>
  <si>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</si>
  <si>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</si>
  <si>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</si>
  <si>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</si>
  <si>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</si>
  <si>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</si>
  <si>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</si>
  <si>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</si>
  <si>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</si>
  <si>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</si>
  <si>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</si>
  <si>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</si>
  <si>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</si>
  <si>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</si>
  <si>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</si>
  <si>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</si>
  <si>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</si>
  <si>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</si>
  <si>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</si>
  <si>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</si>
  <si>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</si>
  <si>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</si>
  <si>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</si>
  <si>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</si>
  <si>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</si>
  <si>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</si>
  <si>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</si>
  <si>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</si>
  <si>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</si>
  <si>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</si>
  <si>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</si>
  <si>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</si>
  <si>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</si>
  <si>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</si>
  <si>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</si>
  <si>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</si>
  <si>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</si>
  <si>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</si>
  <si>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</si>
  <si>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</si>
  <si>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</si>
  <si>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</si>
  <si>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</si>
  <si>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</si>
  <si>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</si>
  <si>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</si>
  <si>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</si>
  <si>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</si>
  <si>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</si>
  <si>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</si>
  <si>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</si>
  <si>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</si>
  <si>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</si>
  <si>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</si>
  <si>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</si>
  <si>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</si>
  <si>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</si>
  <si>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</si>
  <si>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</si>
  <si>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</si>
  <si>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</si>
  <si>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</si>
  <si>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</si>
  <si>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</si>
  <si>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</si>
  <si>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</si>
  <si>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</si>
  <si>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</si>
  <si>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</si>
  <si>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</si>
  <si>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</si>
  <si>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</si>
  <si>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</si>
  <si>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</si>
  <si>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</si>
  <si>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</si>
  <si>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</si>
  <si>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</si>
  <si>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</si>
  <si>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</si>
  <si>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</si>
  <si>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</si>
  <si>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</si>
  <si>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</si>
  <si>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</si>
  <si>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</si>
  <si>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</si>
  <si>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</si>
  <si>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</si>
  <si>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</si>
  <si>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</si>
  <si>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</si>
  <si>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</si>
  <si>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</si>
  <si>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</si>
  <si>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</si>
  <si>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</si>
  <si>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</si>
  <si>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</si>
  <si>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</si>
  <si>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</si>
  <si>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</si>
  <si>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</si>
  <si>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</si>
  <si>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</si>
  <si>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</si>
  <si>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</si>
  <si>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</si>
  <si>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</si>
  <si>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</si>
  <si>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</si>
  <si>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</si>
  <si>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</si>
  <si>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</si>
  <si>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</si>
  <si>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</si>
  <si>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</si>
  <si>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</si>
  <si>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</si>
  <si>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</si>
  <si>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</si>
  <si>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</si>
  <si>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</si>
  <si>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</si>
  <si>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</si>
  <si>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</si>
  <si>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</si>
  <si>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</si>
  <si>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</si>
  <si>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</si>
  <si>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</si>
  <si>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</si>
  <si>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</si>
  <si>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</si>
  <si>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</si>
  <si>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</si>
  <si>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</si>
  <si>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</si>
  <si>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</si>
  <si>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</si>
  <si>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</si>
  <si>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</si>
  <si>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</si>
  <si>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</si>
  <si>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</si>
  <si>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</si>
  <si>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</si>
  <si>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</si>
  <si>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</si>
  <si>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</si>
  <si>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</si>
  <si>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</si>
  <si>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</si>
  <si>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</si>
  <si>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</si>
  <si>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</si>
  <si>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</si>
  <si>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</si>
  <si>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</si>
  <si>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</si>
  <si>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</si>
  <si>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</si>
  <si>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</si>
  <si>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</si>
  <si>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</si>
  <si>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</si>
  <si>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</si>
  <si>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</si>
  <si>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</si>
  <si>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</si>
  <si>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</si>
  <si>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</si>
  <si>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</si>
  <si>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</si>
  <si>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</si>
  <si>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</si>
  <si>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</si>
  <si>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</si>
  <si>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</si>
  <si>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</si>
  <si>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</si>
  <si>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</si>
  <si>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</si>
  <si>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</si>
  <si>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</si>
  <si>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</si>
  <si>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</si>
  <si>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</si>
  <si>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</si>
  <si>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</si>
  <si>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</si>
  <si>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</si>
  <si>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</si>
  <si>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</si>
  <si>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</si>
  <si>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</si>
  <si>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</si>
  <si>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</si>
  <si>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</si>
  <si>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</si>
  <si>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</si>
  <si>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</si>
  <si>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</si>
  <si>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</si>
  <si>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</si>
  <si>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</si>
  <si>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</si>
  <si>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</si>
  <si>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</si>
  <si>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</si>
  <si>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</si>
  <si>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</si>
  <si>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</si>
  <si>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</si>
  <si>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</si>
  <si>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</si>
  <si>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</si>
  <si>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</si>
  <si>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</si>
  <si>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</si>
  <si>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</si>
  <si>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</si>
  <si>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</si>
  <si>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</si>
  <si>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</si>
  <si>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</si>
  <si>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</si>
  <si>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</si>
  <si>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</si>
  <si>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</si>
  <si>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</si>
  <si>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</si>
  <si>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</si>
  <si>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</si>
  <si>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</si>
  <si>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</si>
  <si>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</si>
  <si>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</si>
  <si>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</si>
  <si>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</si>
  <si>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</si>
  <si>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</si>
  <si>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</si>
  <si>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</si>
  <si>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</si>
  <si>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</si>
  <si>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</si>
  <si>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</si>
  <si>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</si>
  <si>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</si>
  <si>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</si>
  <si>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</si>
  <si>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</si>
  <si>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</si>
  <si>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</si>
  <si>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</si>
  <si>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</si>
  <si>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</si>
  <si>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</si>
  <si>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</si>
  <si>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</si>
  <si>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</si>
  <si>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</si>
  <si>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</si>
  <si>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</si>
  <si>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</si>
  <si>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</si>
  <si>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</si>
  <si>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</si>
  <si>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</si>
  <si>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</si>
  <si>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</si>
  <si>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</si>
  <si>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</si>
  <si>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</si>
  <si>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</si>
  <si>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</si>
  <si>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</si>
  <si>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</si>
  <si>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</si>
  <si>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</si>
  <si>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</si>
  <si>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</si>
  <si>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</si>
  <si>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</si>
  <si>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</si>
  <si>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</si>
  <si>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</si>
  <si>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</si>
  <si>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</si>
  <si>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</si>
  <si>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</si>
  <si>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</si>
  <si>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</si>
  <si>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</si>
  <si>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</si>
  <si>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</si>
  <si>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</si>
  <si>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</si>
  <si>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</si>
  <si>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</si>
  <si>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</si>
  <si>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</si>
  <si>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</si>
  <si>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</si>
  <si>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</si>
  <si>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</si>
  <si>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</si>
  <si>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</si>
  <si>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</si>
  <si>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</si>
  <si>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</si>
  <si>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</si>
  <si>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</si>
  <si>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</si>
  <si>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</si>
  <si>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</si>
  <si>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</si>
  <si>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</si>
  <si>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</si>
  <si>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</si>
  <si>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</si>
  <si>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</si>
  <si>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</si>
  <si>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</si>
  <si>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</si>
  <si>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</si>
  <si>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</si>
  <si>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</si>
  <si>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</si>
  <si>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</si>
  <si>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</si>
  <si>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</si>
  <si>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</si>
  <si>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</si>
  <si>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</si>
  <si>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</si>
  <si>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</si>
  <si>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</si>
  <si>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</si>
  <si>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</si>
  <si>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</si>
  <si>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</si>
  <si>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</si>
  <si>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</si>
  <si>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</si>
  <si>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</si>
  <si>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</si>
  <si>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</si>
  <si>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</si>
  <si>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</si>
  <si>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</si>
  <si>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</si>
  <si>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</si>
  <si>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</si>
  <si>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</si>
  <si>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</si>
  <si>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</si>
  <si>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</si>
  <si>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</si>
  <si>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</si>
  <si>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</si>
  <si>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</si>
  <si>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</si>
  <si>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</si>
  <si>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</si>
  <si>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</si>
  <si>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</si>
  <si>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</si>
  <si>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</si>
  <si>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</si>
  <si>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</si>
  <si>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</si>
  <si>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</si>
  <si>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</si>
  <si>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</si>
  <si>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</si>
  <si>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</si>
  <si>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</si>
  <si>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</si>
  <si>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</si>
  <si>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</si>
  <si>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</si>
  <si>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</si>
  <si>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</si>
  <si>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</si>
  <si>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</si>
  <si>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</si>
  <si>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</si>
  <si>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</si>
  <si>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</si>
  <si>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</si>
  <si>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</si>
  <si>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</si>
  <si>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</si>
  <si>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</si>
  <si>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</si>
  <si>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</si>
  <si>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</si>
  <si>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</si>
  <si>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</si>
  <si>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</si>
  <si>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</si>
  <si>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</si>
  <si>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</si>
  <si>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</si>
  <si>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</si>
  <si>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</si>
  <si>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</si>
  <si>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</si>
  <si>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</si>
  <si>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</si>
  <si>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</si>
  <si>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</si>
  <si>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</si>
  <si>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</si>
  <si>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</si>
  <si>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</si>
  <si>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</si>
  <si>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</si>
  <si>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</si>
  <si>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</si>
  <si>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</si>
  <si>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</si>
  <si>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</si>
  <si>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</si>
  <si>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</si>
  <si>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</si>
  <si>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</si>
  <si>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</si>
  <si>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</si>
  <si>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</si>
  <si>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</si>
  <si>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</si>
  <si>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</si>
  <si>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</si>
  <si>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</si>
  <si>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</si>
  <si>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</si>
  <si>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</si>
  <si>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</si>
  <si>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</si>
  <si>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</si>
  <si>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</si>
  <si>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</si>
  <si>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</si>
  <si>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</si>
  <si>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</si>
  <si>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</si>
  <si>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</si>
  <si>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</si>
  <si>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</si>
  <si>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</si>
  <si>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</si>
  <si>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</si>
  <si>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</si>
  <si>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</si>
  <si>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</si>
  <si>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</si>
  <si>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</si>
  <si>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</si>
  <si>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</si>
  <si>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</si>
  <si>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</si>
  <si>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</si>
  <si>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</si>
  <si>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</si>
  <si>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</si>
  <si>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</si>
  <si>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</si>
  <si>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</si>
  <si>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</si>
  <si>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</si>
  <si>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</si>
  <si>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</si>
  <si>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</si>
  <si>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</si>
  <si>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</si>
  <si>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</si>
  <si>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</si>
  <si>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</si>
  <si>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</si>
  <si>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</si>
  <si>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</si>
  <si>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</si>
  <si>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</si>
  <si>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</si>
  <si>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</si>
  <si>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</si>
  <si>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</si>
  <si>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</si>
  <si>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</si>
  <si>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</si>
  <si>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</si>
  <si>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</si>
  <si>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</si>
  <si>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</si>
  <si>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</si>
  <si>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</si>
  <si>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</si>
  <si>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</si>
  <si>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</si>
  <si>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</si>
  <si>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</si>
  <si>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</si>
  <si>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</si>
  <si>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</si>
  <si>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</si>
  <si>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</si>
  <si>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</si>
  <si>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</si>
  <si>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</si>
  <si>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</si>
  <si>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</si>
  <si>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</si>
  <si>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</si>
  <si>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</si>
  <si>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</si>
  <si>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</si>
  <si>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</si>
  <si>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</si>
  <si>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</si>
  <si>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</si>
  <si>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</si>
  <si>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</si>
  <si>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</si>
  <si>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</si>
  <si>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</si>
  <si>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</si>
  <si>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</si>
  <si>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</si>
  <si>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</si>
  <si>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</si>
  <si>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</si>
  <si>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</si>
  <si>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</si>
  <si>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</si>
  <si>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</si>
  <si>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</si>
  <si>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</si>
  <si>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</si>
  <si>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</si>
  <si>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</si>
  <si>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</si>
  <si>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</si>
  <si>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</si>
  <si>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</si>
  <si>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</si>
  <si>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</si>
  <si>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</si>
  <si>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</si>
  <si>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</si>
  <si>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</si>
  <si>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</si>
  <si>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</si>
  <si>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</si>
  <si>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</si>
  <si>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</si>
  <si>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</si>
  <si>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</si>
  <si>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</si>
  <si>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</si>
  <si>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</si>
  <si>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</si>
  <si>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</si>
  <si>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</si>
  <si>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</si>
  <si>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</si>
  <si>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</si>
  <si>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</si>
  <si>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</si>
  <si>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</si>
  <si>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</si>
  <si>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</si>
  <si>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</si>
  <si>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</si>
  <si>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</si>
  <si>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</si>
  <si>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</si>
  <si>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</si>
  <si>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</si>
  <si>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</si>
  <si>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</si>
  <si>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</si>
  <si>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</si>
  <si>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</si>
  <si>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</si>
  <si>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</si>
  <si>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</si>
  <si>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</si>
  <si>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</si>
  <si>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</si>
  <si>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</si>
  <si>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</si>
  <si>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</si>
  <si>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</si>
  <si>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</si>
  <si>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</si>
  <si>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</si>
  <si>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</si>
  <si>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</si>
  <si>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</si>
  <si>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</si>
  <si>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</si>
  <si>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</si>
  <si>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</si>
  <si>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</si>
  <si>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</si>
  <si>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</si>
  <si>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</si>
  <si>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</si>
  <si>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</si>
  <si>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</si>
  <si>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</si>
  <si>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</si>
  <si>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</si>
  <si>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</si>
  <si>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</si>
  <si>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</si>
  <si>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</si>
  <si>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</si>
  <si>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</si>
  <si>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</si>
  <si>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</si>
  <si>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</si>
  <si>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</si>
  <si>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</si>
  <si>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</si>
  <si>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</si>
  <si>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</si>
  <si>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</si>
  <si>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</si>
  <si>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</si>
  <si>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</si>
  <si>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</si>
  <si>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</si>
  <si>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</si>
  <si>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</si>
  <si>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</si>
  <si>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</si>
  <si>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</si>
  <si>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</si>
  <si>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</si>
  <si>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</si>
  <si>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</si>
  <si>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</si>
  <si>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</si>
  <si>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</si>
  <si>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</si>
  <si>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</si>
  <si>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</si>
  <si>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</si>
  <si>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</si>
  <si>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</si>
  <si>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</si>
  <si>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</si>
  <si>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</si>
  <si>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</si>
  <si>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</si>
  <si>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</si>
  <si>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</si>
  <si>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</si>
  <si>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</si>
  <si>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</si>
  <si>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</si>
  <si>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</si>
  <si>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</si>
  <si>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</si>
  <si>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</si>
  <si>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</si>
  <si>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</si>
  <si>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</si>
  <si>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</si>
  <si>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</si>
  <si>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</si>
  <si>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</si>
  <si>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</si>
  <si>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</si>
  <si>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</si>
  <si>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</si>
  <si>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</si>
  <si>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</si>
  <si>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</si>
  <si>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</si>
  <si>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</si>
  <si>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</si>
  <si>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</si>
  <si>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</si>
  <si>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</si>
  <si>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</si>
  <si>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</si>
  <si>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</si>
  <si>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</si>
  <si>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</si>
  <si>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</si>
  <si>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</si>
  <si>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</si>
  <si>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</si>
  <si>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</si>
  <si>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</si>
  <si>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</si>
  <si>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</si>
  <si>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</si>
  <si>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</si>
  <si>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</si>
  <si>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</si>
  <si>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</si>
  <si>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</si>
  <si>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</si>
  <si>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</si>
  <si>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</si>
  <si>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</si>
  <si>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</si>
  <si>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</si>
  <si>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</si>
  <si>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</si>
  <si>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</si>
  <si>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</si>
  <si>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</si>
  <si>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</si>
  <si>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</si>
  <si>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</si>
  <si>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</si>
  <si>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</si>
  <si>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</si>
  <si>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</si>
  <si>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</si>
  <si>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</si>
  <si>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</si>
  <si>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</si>
  <si>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</si>
  <si>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</si>
  <si>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</si>
  <si>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</si>
  <si>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</si>
  <si>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</si>
  <si>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</si>
  <si>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</si>
  <si>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</si>
  <si>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</si>
  <si>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</si>
  <si>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</si>
  <si>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</si>
  <si>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</si>
  <si>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</si>
  <si>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</si>
  <si>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</si>
  <si>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</si>
  <si>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</si>
  <si>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</si>
  <si>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</si>
  <si>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</si>
  <si>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</si>
  <si>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</si>
  <si>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</si>
  <si>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</si>
  <si>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</si>
  <si>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</si>
  <si>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</si>
  <si>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</si>
  <si>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</si>
  <si>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</si>
  <si>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</si>
  <si>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</si>
  <si>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</si>
  <si>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</si>
  <si>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</si>
  <si>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</si>
  <si>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</si>
  <si>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</si>
  <si>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</si>
  <si>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</si>
  <si>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</si>
  <si>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</si>
  <si>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</si>
  <si>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</si>
  <si>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</si>
  <si>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</si>
  <si>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</si>
  <si>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</si>
  <si>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</si>
  <si>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</si>
  <si>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</si>
  <si>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</si>
  <si>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</si>
  <si>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</si>
  <si>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</si>
  <si>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</si>
  <si>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</si>
  <si>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</si>
  <si>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</si>
  <si>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</si>
  <si>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</si>
  <si>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</si>
  <si>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</si>
  <si>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</si>
  <si>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</si>
  <si>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</si>
  <si>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</si>
  <si>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</si>
  <si>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</si>
  <si>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</si>
  <si>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</si>
  <si>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</si>
  <si>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</si>
  <si>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</si>
  <si>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</si>
  <si>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</si>
  <si>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</si>
  <si>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</si>
  <si>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</si>
  <si>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</si>
  <si>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</si>
  <si>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</si>
  <si>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</si>
  <si>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</si>
  <si>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</si>
  <si>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</si>
  <si>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</si>
  <si>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</si>
  <si>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</si>
  <si>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</si>
  <si>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</si>
  <si>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</si>
  <si>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</si>
  <si>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</si>
  <si>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</si>
  <si>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</si>
  <si>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</si>
  <si>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</si>
  <si>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</si>
  <si>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</si>
  <si>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</si>
  <si>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</si>
  <si>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</si>
  <si>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</si>
  <si>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</si>
  <si>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</si>
  <si>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</si>
  <si>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</si>
  <si>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</si>
  <si>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</si>
  <si>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</si>
  <si>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</si>
  <si>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</si>
  <si>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</si>
  <si>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</si>
  <si>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</si>
  <si>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</si>
  <si>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</si>
  <si>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</si>
  <si>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</si>
  <si>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</si>
  <si>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</si>
  <si>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</si>
  <si>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</si>
  <si>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</si>
  <si>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</si>
  <si>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</si>
  <si>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</si>
  <si>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</si>
  <si>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</si>
  <si>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</si>
  <si>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</si>
  <si>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</si>
  <si>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</si>
  <si>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</si>
  <si>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</si>
  <si>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</si>
  <si>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</si>
  <si>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</si>
  <si>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</si>
  <si>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</si>
  <si>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</si>
  <si>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</si>
  <si>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</si>
  <si>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</si>
  <si>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</si>
  <si>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</si>
  <si>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</si>
  <si>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</si>
  <si>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</si>
  <si>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</si>
  <si>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</si>
  <si>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</si>
  <si>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</si>
  <si>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</si>
  <si>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</si>
  <si>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</si>
  <si>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</si>
  <si>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</si>
  <si>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</si>
  <si>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</si>
  <si>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</si>
  <si>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</si>
  <si>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</si>
  <si>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</si>
  <si>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</si>
  <si>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</si>
  <si>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</si>
  <si>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</si>
  <si>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</si>
  <si>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</si>
  <si>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</si>
  <si>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</si>
  <si>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</si>
  <si>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</si>
  <si>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</si>
  <si>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</si>
  <si>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</si>
  <si>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</si>
  <si>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</si>
  <si>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</si>
  <si>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</si>
  <si>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</si>
  <si>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</si>
  <si>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</si>
  <si>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</si>
  <si>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</si>
  <si>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</si>
  <si>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</si>
  <si>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</si>
  <si>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</si>
  <si>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</si>
  <si>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</si>
  <si>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</si>
  <si>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</si>
  <si>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Viscar Terrace LP</t>
  </si>
  <si>
    <t>Viscar Terrace Apartments</t>
  </si>
  <si>
    <t>City of Murrieta</t>
  </si>
  <si>
    <t>Kim Summers</t>
  </si>
  <si>
    <t>1 Town Square</t>
  </si>
  <si>
    <t>Murrieta</t>
  </si>
  <si>
    <t>951-304-2489</t>
  </si>
  <si>
    <t>Dchantarangsu@MurrietaCA.gov</t>
  </si>
  <si>
    <t xml:space="preserve">40475 Vista Murrieta </t>
  </si>
  <si>
    <t>949-180-023; -025; -022</t>
  </si>
  <si>
    <t>40%/60% Average Income</t>
  </si>
  <si>
    <t xml:space="preserve">3416 Via Oporto, Suite 301			</t>
  </si>
  <si>
    <t>Newport Beach</t>
  </si>
  <si>
    <t>CA</t>
  </si>
  <si>
    <t>Angela Heyward</t>
  </si>
  <si>
    <t>949-467-1344</t>
  </si>
  <si>
    <t>angela@communitydevpartners.com</t>
  </si>
  <si>
    <t>Community Development Partners</t>
  </si>
  <si>
    <t>CDP Viscar Terrace LLC (to-be-formed)</t>
  </si>
  <si>
    <t>Administrative GP</t>
  </si>
  <si>
    <t>PacH Lancaster Holdings, LLC</t>
  </si>
  <si>
    <t>Managing GP</t>
  </si>
  <si>
    <t>2115 J Street, Suite 201</t>
  </si>
  <si>
    <t xml:space="preserve">Sacramento </t>
  </si>
  <si>
    <t>1% of 0.01%</t>
  </si>
  <si>
    <t>Mark A Wiese</t>
  </si>
  <si>
    <t>916-638-5200</t>
  </si>
  <si>
    <t>mwiese@pacifichousing.com</t>
  </si>
  <si>
    <t>Etapes Corporation</t>
  </si>
  <si>
    <t>13681 Newport Ave, Suite 8230</t>
  </si>
  <si>
    <t>Tustin</t>
  </si>
  <si>
    <t>Tung Tran</t>
  </si>
  <si>
    <t>714-330-9987</t>
  </si>
  <si>
    <t>ttran@etapescorp.com</t>
  </si>
  <si>
    <t>Co-Developer/AGP/Project Manager</t>
  </si>
  <si>
    <t>Newport Beach, CA 92663</t>
  </si>
  <si>
    <t>Architects Orange</t>
  </si>
  <si>
    <t>144 North Orange Street</t>
  </si>
  <si>
    <t>Orange, CA 92866</t>
  </si>
  <si>
    <t>Kai Lau</t>
  </si>
  <si>
    <t>714-639-9860</t>
  </si>
  <si>
    <t>kail@aoarchitects.com</t>
  </si>
  <si>
    <t>Cox Castle</t>
  </si>
  <si>
    <t>50 California Street, Suite 3200</t>
  </si>
  <si>
    <t>San Francisco, CA 94111</t>
  </si>
  <si>
    <t>Lisa Weil</t>
  </si>
  <si>
    <t>415-262-5175</t>
  </si>
  <si>
    <t>lweil@coxcastle.com</t>
  </si>
  <si>
    <t>Novogradac</t>
  </si>
  <si>
    <t>Long Beach, CA</t>
  </si>
  <si>
    <t>Justin Chubb Lurya</t>
  </si>
  <si>
    <t>562-256-2337</t>
  </si>
  <si>
    <t>Justin.ChubbLurya@novoco.com</t>
  </si>
  <si>
    <t>AEGON USA Realty Advisors, LLC</t>
  </si>
  <si>
    <t>505 Sansome Street, Suite 1700</t>
  </si>
  <si>
    <t>Gary Howe</t>
  </si>
  <si>
    <t>415-983-5452</t>
  </si>
  <si>
    <t>gahowe@aegonam.com</t>
  </si>
  <si>
    <t>Kinetic Valuation Group, Inc.</t>
  </si>
  <si>
    <t>PO Box 68</t>
  </si>
  <si>
    <t>Corona Del Mar, CA 92625</t>
  </si>
  <si>
    <t>Jay A. Wortmann</t>
  </si>
  <si>
    <t>818-914-1892</t>
  </si>
  <si>
    <t>jay@kvgteam.com</t>
  </si>
  <si>
    <t>FPI Management, Inc.</t>
  </si>
  <si>
    <t>3187 Red Hill Ave., Suite 220</t>
  </si>
  <si>
    <t>Costa Mesa, CA 92626</t>
  </si>
  <si>
    <t>Nichole Palmer</t>
  </si>
  <si>
    <t>714-641-5110</t>
  </si>
  <si>
    <t>nichole.palmer@fpimgt.com</t>
  </si>
  <si>
    <t>John &amp; Michelle Erickson; McClellan Family Trust</t>
  </si>
  <si>
    <t>John &amp; Michelle Erickson</t>
  </si>
  <si>
    <t>Owners</t>
  </si>
  <si>
    <t>40475 Vista Murrieta, Murrieta, CA 92562</t>
  </si>
  <si>
    <t>Michael &amp; Lois McClellan</t>
  </si>
  <si>
    <t>Trustees</t>
  </si>
  <si>
    <t>40600 Myers Lane, Murrieta, CA 92562</t>
  </si>
  <si>
    <t>Inner City Infill Site</t>
  </si>
  <si>
    <t>Office and Research Park</t>
  </si>
  <si>
    <t>Office w/TOD Overlay District (30 du/ac minimum)</t>
  </si>
  <si>
    <t>150 feet maximum</t>
  </si>
  <si>
    <t>1 Bed=1; 2 Bed=1.5; 3 Bed=1.5; 4 Bed=2.5 (AB 2345)</t>
  </si>
  <si>
    <t>Citibank, N.A./Tax-Exempt Bond</t>
  </si>
  <si>
    <t>Citibank, N.A./Taxable Bond</t>
  </si>
  <si>
    <t>Cost Deferred to Conversion</t>
  </si>
  <si>
    <t>Deferred Dev Fee</t>
  </si>
  <si>
    <t>Aegon/LIHTC Equity</t>
  </si>
  <si>
    <t>Aegon/State TC Equity</t>
  </si>
  <si>
    <t>Variable</t>
  </si>
  <si>
    <t>325 E. Hillcrest Dr., Suite 160</t>
  </si>
  <si>
    <t>Thousand Oaks, CA 91360</t>
  </si>
  <si>
    <t>Matt Knipprath</t>
  </si>
  <si>
    <t>Contruction</t>
  </si>
  <si>
    <t>SOFR</t>
  </si>
  <si>
    <t>3416 Via Oporto, Ste 301</t>
  </si>
  <si>
    <t>Deferred Cost</t>
  </si>
  <si>
    <t>Equity</t>
  </si>
  <si>
    <t>Aegon/Solar TC</t>
  </si>
  <si>
    <t>Perm Loan</t>
  </si>
  <si>
    <t>Energy Credit Equity</t>
  </si>
  <si>
    <t>(Air Conditioning)</t>
  </si>
  <si>
    <t>Housing Authority of the County of Riverside</t>
  </si>
  <si>
    <t>Phone, Supplies, Licenses, Training/Travel</t>
  </si>
  <si>
    <t>Payroll Taxes/WC/Benefits</t>
  </si>
  <si>
    <t>Alarm/Security Maint/Monitoring</t>
  </si>
  <si>
    <t>Project-based vouchers (PBVs)</t>
  </si>
  <si>
    <t>HUD PBVs</t>
  </si>
  <si>
    <t>Other: Bank Inspection</t>
  </si>
  <si>
    <t>Other: Admin, Repro &amp; Reimbursement</t>
  </si>
  <si>
    <t>Other: Aegon AM Fee</t>
  </si>
  <si>
    <t>FPI Management</t>
  </si>
  <si>
    <t>1 bedroom</t>
  </si>
  <si>
    <t>2 bedroom</t>
  </si>
  <si>
    <t>3 bedroom</t>
  </si>
  <si>
    <t>4 bedroom</t>
  </si>
  <si>
    <t>3 and 4</t>
  </si>
  <si>
    <t>4th</t>
  </si>
  <si>
    <t>Pacific Housing, Inc</t>
  </si>
  <si>
    <t>Case management (40 hours per week)</t>
  </si>
  <si>
    <t>Afterschool program (10 hours per week, 520 hours per year)</t>
  </si>
  <si>
    <t>Instructor-led adult educational, health and wellness, or skill building classes (4 hours per week, 208 hours per year)</t>
  </si>
  <si>
    <t>Other:  Land Holding Costs</t>
  </si>
  <si>
    <t>CDP Site Funds, LLC (a wholly-owned subsidary of CDP)</t>
  </si>
  <si>
    <t>Purchase &amp; Sale Agreements are between non-related parties.</t>
  </si>
  <si>
    <t>+/- 500</t>
  </si>
  <si>
    <t>+/- 700</t>
  </si>
  <si>
    <t>+/- 6000</t>
  </si>
  <si>
    <t>+/- 1,200</t>
  </si>
  <si>
    <t>The project is commited to the minimum construction standards as outlined in CTCAC Regulations Section 10325(f)(7).</t>
  </si>
  <si>
    <t>Not Tracked</t>
  </si>
  <si>
    <t>1 (3 in 6 years)</t>
  </si>
  <si>
    <t>Construction Management Services between Woodhart, LLC and Community Development Partners dated 8/15/2023.</t>
  </si>
  <si>
    <t>Received bid/pricing from a few General Contractors including one, Next Phase Construction, under contract currently under construction for an adjacent 139-unit affordable housing project. No contract signed with General Contractor. The Construction Manager scope of works are below:
•	Assist and coordinate design, cost estimation, value engineering and permit processing.
•	Conduct site visits to verify field conditions and constraints.
•	Assist and coordinate with General Contractor and provide value engineering suggestions to produce preliminary cost estimates at 100% Schematic Design, 100% Design Development, 50%, 80%, and 100% Construction Documents, subject to Owner’s discretion.
•	Review and comment on the following consultant contracts for scope: Mechanical, Electrical, Plumbing, Structural, Geotechnical/Soils.
•	Participate in the project level due diligence, including evaluations of hazardous materials, soil conditions, utility conditions, and neighboring conditions. This includes, but is not limited to, the review of the following reports for coordination with plans: Phase I/II Environmental reports, Geotechnical reports, Other 3rd Party Consultant reports.
•	Assist Owner in managing the design team to provide information required for each Permit Application to the AOJ (Agency of Jurisdiction).
•	Develop and manage Pre-Construction and Construction schedules. Work with the team and Owner to identify and manage critical path items.
•	Coordinate with the Project’s architects and engineers to develop the permit plans and construction specifications. Manage the team’s timely responses to AOJ comments. Set up and attend pre- application meetings or other plan review meetings with appropriate AOJ  and utility providers.
•	Manage the cost estimating and value engineering of the design to achieve the most cost-efficient construction possible.
•	Review all construction documents, including but not necessarily limited to, drawings, specifications, addenda, bid documents, and other construction related plans to ensure complete coordination of the plans, specifications and contract documents, prior to start of construction and as required to efficiently perform the tasks described in this scope. Identify, for Owner, any gaps, errors, or foreseeable construction issues.
•	Review and vet the construction bids with General Contractor and Owner. Assist the Owner ln the negotiation and drafting of the General Contract with the General Contractor including review and negotiation of qualifications and exclusions.
•	Assist Owner in ensuring that the construction plans and logistics are in compliance with any applicable mitigation and monitoring program and that written records are provided by the General Contractor to support evidence of compliance.
•	Assist Owner and General Contractor with strategies for complying with local hiring requirements for the construction workforce, if applicable.
•	Assist Owner in reviewing and coordinating compliance with Project’s approved Conditions of Approval.</t>
  </si>
  <si>
    <t>Phase 1 ESA</t>
  </si>
  <si>
    <t>ACM Reports</t>
  </si>
  <si>
    <t>LBP Reports</t>
  </si>
  <si>
    <t>Fault Study Report</t>
  </si>
  <si>
    <t>Geotech Report</t>
  </si>
  <si>
    <t>10/23 &amp; 25/2023</t>
  </si>
  <si>
    <t xml:space="preserve">There are no environmental issues.  There is on-site septic system which Phase 1 
recommends proper closure and removal per regulatory procedures and guidelines. The 
asbestos and lead-based paint reports indicate minor mitigation is necessary for lead &amp; 
asbestos in existing houses to be demolished.  </t>
  </si>
  <si>
    <t>Construction Closing</t>
  </si>
  <si>
    <t xml:space="preserve">Cash  </t>
  </si>
  <si>
    <t>50% Completion</t>
  </si>
  <si>
    <t>Perm Conversion</t>
  </si>
  <si>
    <t>8609s</t>
  </si>
  <si>
    <t>8/1/20278</t>
  </si>
  <si>
    <t>Kyle Paine</t>
  </si>
  <si>
    <t>President</t>
  </si>
  <si>
    <t>Above residual receipts line for cash flow</t>
  </si>
  <si>
    <t>CDP Viscar Terrace LLC</t>
  </si>
  <si>
    <t>Citibank N.A./Perm Loan</t>
  </si>
  <si>
    <t>616-663</t>
  </si>
  <si>
    <t>1175-1199</t>
  </si>
  <si>
    <t>Pacific Housing, Inc.</t>
  </si>
  <si>
    <t>Other: Off-site Dedicated Improvements</t>
  </si>
  <si>
    <t>17th</t>
  </si>
  <si>
    <t>April</t>
  </si>
  <si>
    <t>Development Director SW</t>
  </si>
  <si>
    <t>CDP/Etapes Corp</t>
  </si>
  <si>
    <t>California Municipal Finance Auth.</t>
  </si>
  <si>
    <t>2111 Palomar Airport Rd., Ste 320</t>
  </si>
  <si>
    <t>Carlsbad, CA 92011</t>
  </si>
  <si>
    <t>Anthony Stubbs</t>
  </si>
  <si>
    <t>760-930-1333</t>
  </si>
  <si>
    <t>astubbs@cmfa-ca.com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</si>
</sst>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64">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57"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6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5"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2" fillId="0" borderId="0" xfId="0" applyFont="1"/>
    <xf numFmtId="0" fontId="15" fillId="0" borderId="0" xfId="0" applyFont="1"/>
    <xf numFmtId="0" fontId="24" fillId="0" borderId="0" xfId="0" applyFont="1"/>
    <xf numFmtId="0" fontId="0" fillId="0" borderId="4" xfId="0" applyBorder="1"/>
    <xf numFmtId="0" fontId="24" fillId="0" borderId="0" xfId="0" applyFont="1" applyAlignment="1">
      <alignment horizontal="center"/>
    </xf>
    <xf numFmtId="0" fontId="15"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2" fillId="0" borderId="4" xfId="0" applyFont="1" applyBorder="1"/>
    <xf numFmtId="164" fontId="0" fillId="0" borderId="0" xfId="0" applyNumberFormat="1" applyAlignment="1">
      <alignment horizontal="right"/>
    </xf>
    <xf numFmtId="0" fontId="22" fillId="0" borderId="0" xfId="0" applyFont="1" applyAlignment="1">
      <alignment horizontal="center"/>
    </xf>
    <xf numFmtId="0" fontId="15" fillId="0" borderId="0" xfId="543"/>
    <xf numFmtId="0" fontId="24" fillId="0" borderId="0" xfId="0" applyFont="1" applyAlignment="1">
      <alignment horizontal="left" vertical="top" wrapText="1"/>
    </xf>
    <xf numFmtId="0" fontId="30" fillId="0" borderId="0" xfId="0" applyFont="1"/>
    <xf numFmtId="0" fontId="23" fillId="0" borderId="0" xfId="0" applyFont="1" applyAlignment="1">
      <alignment vertical="top"/>
    </xf>
    <xf numFmtId="0" fontId="23" fillId="0" borderId="0" xfId="0" applyFont="1" applyAlignment="1">
      <alignment vertical="top" wrapText="1"/>
    </xf>
    <xf numFmtId="0" fontId="24" fillId="0" borderId="0" xfId="0" applyFont="1" applyAlignment="1">
      <alignment horizontal="left" indent="4"/>
    </xf>
    <xf numFmtId="0" fontId="23" fillId="0" borderId="0" xfId="0" applyFont="1" applyAlignment="1">
      <alignment horizontal="left" vertical="top"/>
    </xf>
    <xf numFmtId="0" fontId="23" fillId="0" borderId="0" xfId="0" applyFont="1" applyAlignment="1">
      <alignment horizontal="left"/>
    </xf>
    <xf numFmtId="0" fontId="23" fillId="0" borderId="0" xfId="0" applyFont="1"/>
    <xf numFmtId="0" fontId="35" fillId="0" borderId="0" xfId="543" applyFont="1"/>
    <xf numFmtId="1" fontId="23" fillId="0" borderId="0" xfId="0" applyNumberFormat="1" applyFont="1" applyAlignment="1">
      <alignment horizontal="left"/>
    </xf>
    <xf numFmtId="0" fontId="25" fillId="0" borderId="0" xfId="0" applyFont="1"/>
    <xf numFmtId="1" fontId="23" fillId="0" borderId="0" xfId="0" applyNumberFormat="1" applyFont="1" applyAlignment="1">
      <alignment horizontal="right"/>
    </xf>
    <xf numFmtId="0" fontId="0" fillId="0" borderId="0" xfId="0" applyAlignment="1">
      <alignment horizontal="right"/>
    </xf>
    <xf numFmtId="0" fontId="34" fillId="0" borderId="0" xfId="0" applyFont="1"/>
    <xf numFmtId="0" fontId="27" fillId="0" borderId="0" xfId="0" applyFont="1"/>
    <xf numFmtId="172" fontId="15" fillId="0" borderId="0" xfId="543" applyNumberFormat="1"/>
    <xf numFmtId="9" fontId="15" fillId="0" borderId="0" xfId="543" applyNumberFormat="1" applyAlignment="1">
      <alignment horizontal="left"/>
    </xf>
    <xf numFmtId="168" fontId="15" fillId="0" borderId="0" xfId="543" applyNumberFormat="1"/>
    <xf numFmtId="0" fontId="24" fillId="0" borderId="0" xfId="0" applyFont="1" applyAlignment="1">
      <alignment horizontal="right"/>
    </xf>
    <xf numFmtId="0" fontId="38" fillId="0" borderId="0" xfId="0" applyFont="1"/>
    <xf numFmtId="0" fontId="24" fillId="0" borderId="0" xfId="0" applyFont="1" applyAlignment="1">
      <alignment horizontal="left"/>
    </xf>
    <xf numFmtId="0" fontId="26" fillId="0" borderId="0" xfId="0" applyFont="1"/>
    <xf numFmtId="0" fontId="28" fillId="0" borderId="0" xfId="0" applyFont="1"/>
    <xf numFmtId="0" fontId="22"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2" fillId="0" borderId="1" xfId="0" applyFont="1" applyBorder="1" applyAlignment="1">
      <alignment horizontal="center" wrapText="1"/>
    </xf>
    <xf numFmtId="0" fontId="22"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2" fillId="0" borderId="4" xfId="0" applyFont="1" applyBorder="1" applyAlignment="1">
      <alignment horizontal="center"/>
    </xf>
    <xf numFmtId="0" fontId="31" fillId="0" borderId="3" xfId="0" applyFont="1" applyBorder="1" applyAlignment="1">
      <alignment horizontal="left"/>
    </xf>
    <xf numFmtId="0" fontId="31" fillId="0" borderId="9" xfId="0" applyFont="1" applyBorder="1" applyAlignment="1">
      <alignment horizontal="left"/>
    </xf>
    <xf numFmtId="0" fontId="22" fillId="0" borderId="4" xfId="0" applyFont="1" applyBorder="1" applyAlignment="1">
      <alignment horizontal="right"/>
    </xf>
    <xf numFmtId="0" fontId="22" fillId="0" borderId="5" xfId="0" applyFont="1" applyBorder="1" applyAlignment="1">
      <alignment horizontal="right"/>
    </xf>
    <xf numFmtId="0" fontId="31"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11" xfId="0" applyFont="1" applyBorder="1" applyAlignment="1">
      <alignment horizontal="left"/>
    </xf>
    <xf numFmtId="0" fontId="22" fillId="0" borderId="9" xfId="0" applyFont="1" applyBorder="1"/>
    <xf numFmtId="164" fontId="0" fillId="0" borderId="0" xfId="0" applyNumberFormat="1" applyAlignment="1">
      <alignment horizontal="center"/>
    </xf>
    <xf numFmtId="0" fontId="0" fillId="0" borderId="12" xfId="0" applyBorder="1"/>
    <xf numFmtId="0" fontId="24" fillId="0" borderId="3" xfId="0" applyFont="1" applyBorder="1"/>
    <xf numFmtId="0" fontId="24" fillId="0" borderId="0" xfId="543" applyFont="1"/>
    <xf numFmtId="0" fontId="40" fillId="0" borderId="0" xfId="543" applyFont="1"/>
    <xf numFmtId="49" fontId="15" fillId="0" borderId="0" xfId="543" applyNumberFormat="1"/>
    <xf numFmtId="0" fontId="38" fillId="0" borderId="0" xfId="543" applyFont="1"/>
    <xf numFmtId="168" fontId="35" fillId="0" borderId="6" xfId="543" applyNumberFormat="1" applyFont="1" applyBorder="1" applyAlignment="1">
      <alignment horizontal="left"/>
    </xf>
    <xf numFmtId="168" fontId="35" fillId="0" borderId="6" xfId="543" applyNumberFormat="1" applyFont="1" applyBorder="1" applyAlignment="1">
      <alignment horizontal="center"/>
    </xf>
    <xf numFmtId="0" fontId="15" fillId="0" borderId="8" xfId="543" applyBorder="1"/>
    <xf numFmtId="0" fontId="35" fillId="0" borderId="0" xfId="543" applyFont="1" applyAlignment="1">
      <alignment horizontal="center"/>
    </xf>
    <xf numFmtId="0" fontId="34" fillId="0" borderId="9" xfId="543" applyFont="1" applyBorder="1" applyAlignment="1">
      <alignment horizontal="left" vertical="top" wrapText="1"/>
    </xf>
    <xf numFmtId="0" fontId="34" fillId="0" borderId="6" xfId="543" applyFont="1" applyBorder="1" applyAlignment="1">
      <alignment horizontal="center" vertical="top" wrapText="1"/>
    </xf>
    <xf numFmtId="0" fontId="15" fillId="0" borderId="9" xfId="543" applyBorder="1"/>
    <xf numFmtId="0" fontId="15" fillId="0" borderId="10" xfId="543" applyBorder="1"/>
    <xf numFmtId="0" fontId="15" fillId="0" borderId="1" xfId="543" applyBorder="1"/>
    <xf numFmtId="0" fontId="35" fillId="0" borderId="2" xfId="543" applyFont="1" applyBorder="1" applyAlignment="1">
      <alignment horizontal="center"/>
    </xf>
    <xf numFmtId="0" fontId="37" fillId="0" borderId="8" xfId="543" applyFont="1" applyBorder="1" applyAlignment="1">
      <alignment horizontal="left" vertical="top" wrapText="1"/>
    </xf>
    <xf numFmtId="0" fontId="34" fillId="0" borderId="0" xfId="543" applyFont="1" applyAlignment="1">
      <alignment horizontal="center" vertical="top" wrapText="1"/>
    </xf>
    <xf numFmtId="0" fontId="15" fillId="0" borderId="12" xfId="543" applyBorder="1"/>
    <xf numFmtId="0" fontId="37" fillId="0" borderId="0" xfId="543" applyFont="1" applyAlignment="1">
      <alignment horizontal="center" vertical="top" wrapText="1"/>
    </xf>
    <xf numFmtId="0" fontId="37" fillId="0" borderId="9" xfId="543" applyFont="1" applyBorder="1" applyAlignment="1">
      <alignment horizontal="left" vertical="top" wrapText="1"/>
    </xf>
    <xf numFmtId="0" fontId="15" fillId="0" borderId="2" xfId="543" applyBorder="1"/>
    <xf numFmtId="0" fontId="15" fillId="0" borderId="7" xfId="543" applyBorder="1"/>
    <xf numFmtId="0" fontId="34" fillId="0" borderId="0" xfId="543" applyFont="1"/>
    <xf numFmtId="0" fontId="15" fillId="0" borderId="0" xfId="543" applyAlignment="1">
      <alignment horizontal="center"/>
    </xf>
    <xf numFmtId="0" fontId="23" fillId="0" borderId="6" xfId="543" applyFont="1" applyBorder="1" applyAlignment="1">
      <alignment vertical="top" wrapText="1"/>
    </xf>
    <xf numFmtId="0" fontId="24" fillId="0" borderId="0" xfId="0" applyFont="1" applyAlignment="1">
      <alignment horizontal="left" vertical="top"/>
    </xf>
    <xf numFmtId="0" fontId="0" fillId="2" borderId="2" xfId="0" applyFill="1" applyBorder="1"/>
    <xf numFmtId="0" fontId="0" fillId="2" borderId="7" xfId="0" applyFill="1" applyBorder="1"/>
    <xf numFmtId="0" fontId="22" fillId="0" borderId="6" xfId="0" applyFont="1" applyBorder="1" applyAlignment="1">
      <alignment horizontal="right"/>
    </xf>
    <xf numFmtId="0" fontId="21" fillId="0" borderId="0" xfId="0" applyFont="1" applyAlignment="1">
      <alignment horizontal="center" vertical="center"/>
    </xf>
    <xf numFmtId="0" fontId="22" fillId="0" borderId="0" xfId="0" applyFont="1" applyAlignment="1">
      <alignment vertical="top"/>
    </xf>
    <xf numFmtId="166" fontId="0" fillId="0" borderId="0" xfId="0" applyNumberFormat="1" applyAlignment="1">
      <alignment horizontal="right"/>
    </xf>
    <xf numFmtId="0" fontId="45" fillId="0" borderId="0" xfId="0" applyFont="1"/>
    <xf numFmtId="0" fontId="32" fillId="0" borderId="0" xfId="0" applyFont="1"/>
    <xf numFmtId="0" fontId="16" fillId="0" borderId="0" xfId="244" applyBorder="1" applyProtection="1"/>
    <xf numFmtId="0" fontId="16" fillId="0" borderId="0" xfId="244" applyFill="1" applyBorder="1" applyAlignment="1">
      <alignment horizontal="center" vertical="center"/>
    </xf>
    <xf numFmtId="0" fontId="15" fillId="0" borderId="3" xfId="543" applyBorder="1"/>
    <xf numFmtId="0" fontId="37" fillId="0" borderId="4" xfId="543" applyFont="1" applyBorder="1" applyAlignment="1">
      <alignment horizontal="right" vertical="top" wrapText="1"/>
    </xf>
    <xf numFmtId="0" fontId="24" fillId="0" borderId="6" xfId="0" applyFont="1" applyBorder="1"/>
    <xf numFmtId="0" fontId="24" fillId="0" borderId="2" xfId="0" applyFont="1" applyBorder="1"/>
    <xf numFmtId="0" fontId="24" fillId="0" borderId="7" xfId="0" applyFont="1" applyBorder="1"/>
    <xf numFmtId="0" fontId="24" fillId="0" borderId="12" xfId="0" applyFont="1" applyBorder="1"/>
    <xf numFmtId="0" fontId="24" fillId="0" borderId="9" xfId="0" applyFont="1" applyBorder="1"/>
    <xf numFmtId="0" fontId="24" fillId="0" borderId="10" xfId="0" applyFont="1" applyBorder="1"/>
    <xf numFmtId="0" fontId="29" fillId="0" borderId="6"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29" fillId="2" borderId="6" xfId="0" applyFont="1" applyFill="1" applyBorder="1" applyAlignment="1">
      <alignment vertical="top" wrapText="1"/>
    </xf>
    <xf numFmtId="0" fontId="0" fillId="0" borderId="8" xfId="0" applyBorder="1"/>
    <xf numFmtId="0" fontId="22" fillId="0" borderId="2" xfId="0" applyFont="1" applyBorder="1"/>
    <xf numFmtId="0" fontId="24" fillId="0" borderId="0" xfId="0" applyFont="1" applyAlignment="1">
      <alignment vertical="top"/>
    </xf>
    <xf numFmtId="0" fontId="24" fillId="0" borderId="0" xfId="0" applyFont="1" applyAlignment="1">
      <alignment vertical="top" wrapText="1"/>
    </xf>
    <xf numFmtId="0" fontId="15" fillId="0" borderId="0" xfId="0" applyFont="1" applyAlignment="1">
      <alignment horizontal="left"/>
    </xf>
    <xf numFmtId="0" fontId="15" fillId="0" borderId="0" xfId="0" applyFont="1" applyAlignment="1">
      <alignment vertical="top"/>
    </xf>
    <xf numFmtId="0" fontId="44" fillId="0" borderId="0" xfId="0" applyFont="1"/>
    <xf numFmtId="0" fontId="15" fillId="0" borderId="3" xfId="0" applyFont="1" applyBorder="1"/>
    <xf numFmtId="0" fontId="15"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9" fillId="3" borderId="4" xfId="0" applyFont="1" applyFill="1" applyBorder="1" applyAlignment="1">
      <alignment vertical="top" wrapText="1"/>
    </xf>
    <xf numFmtId="0" fontId="29" fillId="3" borderId="5" xfId="0" applyFont="1" applyFill="1" applyBorder="1" applyAlignment="1">
      <alignment vertical="top" wrapText="1"/>
    </xf>
    <xf numFmtId="0" fontId="47" fillId="0" borderId="0" xfId="0" applyFont="1"/>
    <xf numFmtId="0" fontId="24" fillId="0" borderId="4" xfId="0" applyFont="1" applyBorder="1"/>
    <xf numFmtId="0" fontId="22" fillId="0" borderId="2" xfId="0" applyFont="1" applyBorder="1" applyAlignment="1">
      <alignment horizontal="center"/>
    </xf>
    <xf numFmtId="0" fontId="22" fillId="0" borderId="0" xfId="0" applyFont="1" applyAlignment="1">
      <alignment horizontal="center" vertical="center" wrapText="1"/>
    </xf>
    <xf numFmtId="0" fontId="22" fillId="0" borderId="7" xfId="543" applyFont="1" applyBorder="1" applyAlignment="1">
      <alignment horizontal="right"/>
    </xf>
    <xf numFmtId="0" fontId="23" fillId="0" borderId="9" xfId="543" applyFont="1" applyBorder="1"/>
    <xf numFmtId="0" fontId="24" fillId="0" borderId="6" xfId="543" applyFont="1" applyBorder="1"/>
    <xf numFmtId="0" fontId="23" fillId="0" borderId="6" xfId="543" applyFont="1" applyBorder="1" applyAlignment="1">
      <alignment horizontal="right"/>
    </xf>
    <xf numFmtId="0" fontId="22" fillId="0" borderId="0" xfId="0" applyFont="1" applyAlignment="1">
      <alignment horizontal="center" vertical="center"/>
    </xf>
    <xf numFmtId="0" fontId="24"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8"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4" fillId="0" borderId="0" xfId="0" applyNumberFormat="1" applyFont="1" applyAlignment="1">
      <alignment horizontal="left"/>
    </xf>
    <xf numFmtId="0" fontId="56" fillId="0" borderId="0" xfId="0" applyFont="1"/>
    <xf numFmtId="0" fontId="15" fillId="0" borderId="0" xfId="244" applyFont="1" applyFill="1" applyBorder="1" applyAlignment="1" applyProtection="1">
      <alignment horizontal="left"/>
    </xf>
    <xf numFmtId="0" fontId="46" fillId="0" borderId="0" xfId="0" applyFont="1"/>
    <xf numFmtId="0" fontId="46" fillId="0" borderId="0" xfId="244" applyFont="1" applyFill="1" applyBorder="1" applyAlignment="1" applyProtection="1">
      <alignment horizontal="left"/>
    </xf>
    <xf numFmtId="0" fontId="21" fillId="3" borderId="11" xfId="0" applyFont="1" applyFill="1" applyBorder="1" applyAlignment="1">
      <alignment vertical="top"/>
    </xf>
    <xf numFmtId="0" fontId="0" fillId="7" borderId="0" xfId="0" applyFill="1"/>
    <xf numFmtId="0" fontId="35" fillId="0" borderId="0" xfId="0" applyFont="1"/>
    <xf numFmtId="0" fontId="58" fillId="0" borderId="0" xfId="0" applyFont="1"/>
    <xf numFmtId="0" fontId="33" fillId="0" borderId="0" xfId="0" applyFont="1" applyAlignment="1">
      <alignment horizontal="center"/>
    </xf>
    <xf numFmtId="0" fontId="33" fillId="0" borderId="0" xfId="0" applyFont="1"/>
    <xf numFmtId="0" fontId="33" fillId="0" borderId="0" xfId="0" applyFont="1" applyAlignment="1">
      <alignment horizontal="left"/>
    </xf>
    <xf numFmtId="49" fontId="22" fillId="0" borderId="0" xfId="0" applyNumberFormat="1" applyFont="1" applyAlignment="1">
      <alignment horizontal="center"/>
    </xf>
    <xf numFmtId="0" fontId="50" fillId="0" borderId="0" xfId="0" applyFont="1" applyAlignment="1">
      <alignment horizontal="center"/>
    </xf>
    <xf numFmtId="0" fontId="49" fillId="0" borderId="0" xfId="244" applyFont="1" applyAlignment="1" applyProtection="1">
      <alignment horizontal="center"/>
    </xf>
    <xf numFmtId="0" fontId="24" fillId="0" borderId="0" xfId="0" quotePrefix="1" applyFont="1" applyAlignment="1">
      <alignment horizontal="left"/>
    </xf>
    <xf numFmtId="49" fontId="24" fillId="0" borderId="0" xfId="0" applyNumberFormat="1" applyFont="1" applyAlignment="1">
      <alignment horizontal="center"/>
    </xf>
    <xf numFmtId="0" fontId="22" fillId="0" borderId="0" xfId="0" quotePrefix="1" applyFont="1" applyAlignment="1">
      <alignment horizontal="center"/>
    </xf>
    <xf numFmtId="49" fontId="0" fillId="0" borderId="0" xfId="0" applyNumberFormat="1"/>
    <xf numFmtId="0" fontId="47" fillId="0" borderId="0" xfId="0" applyFont="1" applyAlignment="1">
      <alignment horizontal="left"/>
    </xf>
    <xf numFmtId="49" fontId="24" fillId="0" borderId="0" xfId="0" applyNumberFormat="1" applyFont="1"/>
    <xf numFmtId="49" fontId="22" fillId="0" borderId="0" xfId="0" applyNumberFormat="1" applyFont="1" applyAlignment="1">
      <alignment horizontal="left"/>
    </xf>
    <xf numFmtId="168" fontId="24" fillId="0" borderId="0" xfId="0" applyNumberFormat="1" applyFont="1" applyAlignment="1">
      <alignment horizontal="center"/>
    </xf>
    <xf numFmtId="168" fontId="34"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5" fillId="0" borderId="0" xfId="0" applyFont="1" applyAlignment="1">
      <alignment vertical="top" wrapText="1"/>
    </xf>
    <xf numFmtId="0" fontId="53" fillId="0" borderId="4" xfId="0" applyFont="1" applyBorder="1" applyAlignment="1">
      <alignment horizontal="right"/>
    </xf>
    <xf numFmtId="0" fontId="60" fillId="0" borderId="0" xfId="0" applyFont="1"/>
    <xf numFmtId="3" fontId="24" fillId="0" borderId="0" xfId="0" applyNumberFormat="1" applyFont="1" applyAlignment="1">
      <alignment horizontal="center"/>
    </xf>
    <xf numFmtId="168" fontId="15" fillId="0" borderId="0" xfId="0" applyNumberFormat="1" applyFont="1" applyAlignment="1">
      <alignment horizontal="left" vertical="top"/>
    </xf>
    <xf numFmtId="168" fontId="24" fillId="0" borderId="0" xfId="0" applyNumberFormat="1" applyFont="1" applyAlignment="1">
      <alignment horizontal="left" vertical="top"/>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2" fillId="0" borderId="0" xfId="542" applyFont="1" applyProtection="1">
      <protection locked="0"/>
    </xf>
    <xf numFmtId="0" fontId="15" fillId="0" borderId="0" xfId="539" applyProtection="1"/>
    <xf numFmtId="0" fontId="35" fillId="8" borderId="0" xfId="539" applyFont="1" applyFill="1" applyAlignment="1" applyProtection="1">
      <alignment horizontal="centerContinuous"/>
    </xf>
    <xf numFmtId="4" fontId="24" fillId="0" borderId="0" xfId="0" applyNumberFormat="1" applyFont="1"/>
    <xf numFmtId="0" fontId="22" fillId="0" borderId="0" xfId="543" applyFont="1"/>
    <xf numFmtId="0" fontId="24" fillId="0" borderId="0" xfId="543" applyFont="1" applyAlignment="1">
      <alignment horizontal="left"/>
    </xf>
    <xf numFmtId="0" fontId="24" fillId="0" borderId="15" xfId="0" applyFont="1" applyBorder="1"/>
    <xf numFmtId="0" fontId="24" fillId="0" borderId="11" xfId="0" applyFont="1" applyBorder="1"/>
    <xf numFmtId="2" fontId="38" fillId="0" borderId="11" xfId="0" applyNumberFormat="1" applyFont="1" applyBorder="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Alignment="1">
      <alignment horizontal="left"/>
    </xf>
    <xf numFmtId="0" fontId="16" fillId="0" borderId="0" xfId="244" applyFill="1" applyBorder="1" applyProtection="1">
      <protection locked="0"/>
    </xf>
    <xf numFmtId="168" fontId="22" fillId="0" borderId="2" xfId="543" applyNumberFormat="1" applyFont="1" applyBorder="1" applyAlignment="1">
      <alignment horizontal="center" vertical="center"/>
    </xf>
    <xf numFmtId="0" fontId="37" fillId="0" borderId="0" xfId="543" applyFont="1" applyAlignment="1">
      <alignment horizontal="right" vertical="top" wrapText="1"/>
    </xf>
    <xf numFmtId="0" fontId="35" fillId="0" borderId="2" xfId="543" applyFont="1" applyBorder="1" applyAlignment="1">
      <alignment horizontal="right" vertical="top" wrapText="1"/>
    </xf>
    <xf numFmtId="0" fontId="20" fillId="0" borderId="0" xfId="0" applyFont="1"/>
    <xf numFmtId="0" fontId="65" fillId="0" borderId="0" xfId="0" applyFont="1"/>
    <xf numFmtId="0" fontId="63" fillId="0" borderId="0" xfId="0" applyFont="1"/>
    <xf numFmtId="0" fontId="35"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Alignment="1">
      <alignment horizontal="center"/>
    </xf>
    <xf numFmtId="0" fontId="63" fillId="0" borderId="6" xfId="0" applyFont="1" applyBorder="1" applyAlignment="1">
      <alignment horizontal="center"/>
    </xf>
    <xf numFmtId="172" fontId="24" fillId="0" borderId="0" xfId="0" applyNumberFormat="1" applyFont="1" applyAlignment="1">
      <alignment horizontal="center"/>
    </xf>
    <xf numFmtId="10" fontId="68" fillId="0" borderId="0" xfId="0" applyNumberFormat="1" applyFont="1" applyAlignment="1">
      <alignment horizontal="center"/>
    </xf>
    <xf numFmtId="4" fontId="24" fillId="0" borderId="0" xfId="271" applyNumberFormat="1" applyAlignment="1">
      <alignment horizontal="left"/>
    </xf>
    <xf numFmtId="0" fontId="24" fillId="0" borderId="0" xfId="271" applyAlignment="1">
      <alignment horizontal="center"/>
    </xf>
    <xf numFmtId="0" fontId="24" fillId="9" borderId="6" xfId="0" applyFont="1" applyFill="1" applyBorder="1"/>
    <xf numFmtId="0" fontId="24" fillId="0" borderId="4" xfId="271" applyBorder="1"/>
    <xf numFmtId="0" fontId="24" fillId="0" borderId="6" xfId="271" applyBorder="1"/>
    <xf numFmtId="0" fontId="24" fillId="0" borderId="1" xfId="0" applyFont="1" applyBorder="1"/>
    <xf numFmtId="168" fontId="24" fillId="0" borderId="3" xfId="0" applyNumberFormat="1" applyFont="1" applyBorder="1" applyAlignment="1">
      <alignment vertical="top"/>
    </xf>
    <xf numFmtId="168" fontId="24" fillId="0" borderId="4" xfId="0" applyNumberFormat="1" applyFont="1" applyBorder="1" applyAlignment="1">
      <alignment vertical="top"/>
    </xf>
    <xf numFmtId="168" fontId="24" fillId="0" borderId="5" xfId="0" applyNumberFormat="1" applyFont="1" applyBorder="1" applyAlignment="1">
      <alignment vertical="top"/>
    </xf>
    <xf numFmtId="168" fontId="24" fillId="0" borderId="8" xfId="0" applyNumberFormat="1" applyFont="1" applyBorder="1" applyAlignment="1">
      <alignment vertical="top"/>
    </xf>
    <xf numFmtId="168" fontId="24" fillId="0" borderId="0" xfId="0" applyNumberFormat="1" applyFont="1" applyAlignment="1">
      <alignment vertical="top"/>
    </xf>
    <xf numFmtId="0" fontId="24" fillId="0" borderId="0" xfId="0" applyFont="1" applyAlignment="1">
      <alignment horizontal="right" vertical="top"/>
    </xf>
    <xf numFmtId="0" fontId="24"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Font="1" applyFill="1" applyBorder="1" applyAlignment="1" applyProtection="1">
      <alignment horizontal="left" vertical="top"/>
      <protection locked="0"/>
    </xf>
    <xf numFmtId="0" fontId="24"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4" fontId="24" fillId="0" borderId="0" xfId="0" applyNumberFormat="1" applyFont="1" applyAlignment="1">
      <alignment horizontal="center"/>
    </xf>
    <xf numFmtId="4" fontId="0" fillId="0" borderId="0" xfId="0" applyNumberFormat="1"/>
    <xf numFmtId="0" fontId="34" fillId="0" borderId="1" xfId="543" applyFont="1" applyBorder="1" applyAlignment="1">
      <alignment horizontal="left" vertical="top" wrapText="1"/>
    </xf>
    <xf numFmtId="0" fontId="34" fillId="0" borderId="12" xfId="543" applyFont="1" applyBorder="1" applyAlignment="1">
      <alignment horizontal="center" vertical="top" wrapText="1"/>
    </xf>
    <xf numFmtId="0" fontId="34" fillId="0" borderId="8" xfId="543" applyFont="1" applyBorder="1" applyAlignment="1">
      <alignment horizontal="left" vertical="top" wrapText="1"/>
    </xf>
    <xf numFmtId="0" fontId="29" fillId="3" borderId="4" xfId="271" applyFont="1" applyFill="1" applyBorder="1" applyAlignment="1">
      <alignment vertical="top" wrapText="1"/>
    </xf>
    <xf numFmtId="0" fontId="21" fillId="3" borderId="11" xfId="271" applyFont="1" applyFill="1" applyBorder="1" applyAlignment="1">
      <alignment vertical="top"/>
    </xf>
    <xf numFmtId="0" fontId="22" fillId="0" borderId="9" xfId="271" applyFont="1" applyBorder="1" applyAlignment="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lignment horizontal="center" wrapText="1"/>
    </xf>
    <xf numFmtId="0" fontId="47" fillId="2" borderId="11" xfId="271" applyFont="1" applyFill="1" applyBorder="1" applyAlignment="1">
      <alignment horizontal="left" vertical="top" wrapText="1"/>
    </xf>
    <xf numFmtId="0" fontId="24" fillId="0" borderId="11" xfId="271" applyBorder="1" applyAlignment="1" applyProtection="1">
      <alignment vertical="top" wrapText="1"/>
      <protection locked="0"/>
    </xf>
    <xf numFmtId="168" fontId="24" fillId="5" borderId="11" xfId="271" applyNumberFormat="1" applyFill="1" applyBorder="1" applyAlignment="1" applyProtection="1">
      <alignment vertical="top" wrapText="1"/>
      <protection locked="0"/>
    </xf>
    <xf numFmtId="0" fontId="24" fillId="5" borderId="3" xfId="271" applyFill="1" applyBorder="1" applyAlignment="1" applyProtection="1">
      <alignment vertical="top" wrapText="1"/>
      <protection locked="0"/>
    </xf>
    <xf numFmtId="0" fontId="24" fillId="5" borderId="11" xfId="271" applyFill="1" applyBorder="1" applyAlignment="1" applyProtection="1">
      <alignment vertical="top" wrapText="1"/>
      <protection locked="0"/>
    </xf>
    <xf numFmtId="0" fontId="24" fillId="0" borderId="11" xfId="271" applyBorder="1" applyAlignment="1">
      <alignment horizontal="right" vertical="top" wrapText="1"/>
    </xf>
    <xf numFmtId="168" fontId="24" fillId="0" borderId="11" xfId="271" applyNumberFormat="1" applyBorder="1" applyAlignment="1">
      <alignment vertical="top" wrapText="1"/>
    </xf>
    <xf numFmtId="0" fontId="22" fillId="0" borderId="11" xfId="271" applyFont="1" applyBorder="1" applyAlignment="1">
      <alignment horizontal="right" vertical="top" wrapText="1"/>
    </xf>
    <xf numFmtId="0" fontId="24" fillId="5" borderId="11" xfId="271" applyFill="1" applyBorder="1" applyAlignment="1" applyProtection="1">
      <alignment horizontal="right" vertical="top" wrapText="1"/>
      <protection locked="0"/>
    </xf>
    <xf numFmtId="168" fontId="22" fillId="0" borderId="11" xfId="271" applyNumberFormat="1" applyFont="1" applyBorder="1" applyAlignment="1">
      <alignment vertical="top" wrapText="1"/>
    </xf>
    <xf numFmtId="0" fontId="32" fillId="0" borderId="11" xfId="271" applyFont="1" applyBorder="1" applyAlignment="1">
      <alignment horizontal="right" vertical="top" wrapText="1"/>
    </xf>
    <xf numFmtId="0" fontId="29" fillId="0" borderId="0" xfId="271" applyFont="1" applyAlignment="1" applyProtection="1">
      <alignment horizontal="right" vertical="top" wrapText="1"/>
      <protection locked="0"/>
    </xf>
    <xf numFmtId="0" fontId="29" fillId="0" borderId="0" xfId="271" applyFont="1" applyAlignment="1" applyProtection="1">
      <alignment vertical="top" wrapText="1"/>
      <protection locked="0"/>
    </xf>
    <xf numFmtId="0" fontId="24" fillId="0" borderId="5" xfId="271" applyBorder="1" applyAlignment="1" applyProtection="1">
      <alignment vertical="top" wrapText="1"/>
      <protection locked="0"/>
    </xf>
    <xf numFmtId="0" fontId="22" fillId="0" borderId="3" xfId="271" applyFont="1" applyBorder="1" applyAlignment="1">
      <alignment horizontal="left" vertical="top"/>
    </xf>
    <xf numFmtId="0" fontId="24" fillId="0" borderId="4" xfId="271" applyBorder="1" applyAlignment="1" applyProtection="1">
      <alignment horizontal="left" vertical="top"/>
      <protection locked="0"/>
    </xf>
    <xf numFmtId="0" fontId="24" fillId="0" borderId="4" xfId="271" applyBorder="1" applyAlignment="1" applyProtection="1">
      <alignment vertical="top" wrapText="1"/>
      <protection locked="0"/>
    </xf>
    <xf numFmtId="0" fontId="29" fillId="0" borderId="0" xfId="271" applyFont="1" applyAlignment="1">
      <alignment vertical="top" wrapText="1"/>
    </xf>
    <xf numFmtId="0" fontId="24" fillId="0" borderId="4" xfId="271" applyBorder="1" applyAlignment="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61" fillId="0" borderId="0" xfId="542"/>
    <xf numFmtId="0" fontId="24" fillId="8" borderId="0" xfId="542" quotePrefix="1" applyFont="1" applyFill="1" applyAlignment="1">
      <alignment horizontal="left"/>
    </xf>
    <xf numFmtId="0" fontId="24" fillId="8" borderId="0" xfId="542" applyFont="1" applyFill="1"/>
    <xf numFmtId="0" fontId="32"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4" fillId="0" borderId="0" xfId="271" applyAlignment="1">
      <alignment horizontal="left" vertical="top"/>
    </xf>
    <xf numFmtId="0" fontId="22" fillId="0" borderId="0" xfId="271" applyFont="1" applyAlignment="1">
      <alignment horizontal="right"/>
    </xf>
    <xf numFmtId="0" fontId="23" fillId="0" borderId="0" xfId="271" applyFont="1" applyAlignment="1">
      <alignment horizontal="center"/>
    </xf>
    <xf numFmtId="5" fontId="24" fillId="0" borderId="0" xfId="542" applyNumberFormat="1" applyFont="1"/>
    <xf numFmtId="1" fontId="24" fillId="0" borderId="15" xfId="271" applyNumberFormat="1" applyBorder="1"/>
    <xf numFmtId="1" fontId="24" fillId="0" borderId="14" xfId="271" applyNumberFormat="1" applyBorder="1"/>
    <xf numFmtId="0" fontId="23" fillId="0" borderId="6" xfId="271" applyFont="1" applyBorder="1" applyAlignment="1">
      <alignment horizontal="left"/>
    </xf>
    <xf numFmtId="0" fontId="23" fillId="0" borderId="6" xfId="271" applyFont="1" applyBorder="1" applyAlignment="1">
      <alignment horizontal="right"/>
    </xf>
    <xf numFmtId="165" fontId="24" fillId="0" borderId="0" xfId="271" applyNumberFormat="1"/>
    <xf numFmtId="170" fontId="24" fillId="0" borderId="14" xfId="271" applyNumberFormat="1" applyBorder="1"/>
    <xf numFmtId="1" fontId="22" fillId="0" borderId="11" xfId="271" applyNumberFormat="1" applyFont="1" applyBorder="1"/>
    <xf numFmtId="165" fontId="22" fillId="0" borderId="11" xfId="271" applyNumberFormat="1" applyFont="1" applyBorder="1"/>
    <xf numFmtId="3" fontId="55" fillId="0" borderId="11" xfId="0" applyNumberFormat="1" applyFont="1" applyBorder="1" applyAlignment="1">
      <alignment vertical="top" wrapText="1"/>
    </xf>
    <xf numFmtId="166" fontId="24" fillId="0" borderId="0" xfId="0" applyNumberFormat="1" applyFont="1"/>
    <xf numFmtId="0" fontId="0" fillId="0" borderId="0" xfId="0" applyProtection="1">
      <protection locked="0"/>
    </xf>
    <xf numFmtId="0" fontId="22" fillId="0" borderId="0" xfId="271" applyFont="1" applyAlignment="1">
      <alignment horizontal="left"/>
    </xf>
    <xf numFmtId="0" fontId="20" fillId="0" borderId="0" xfId="0" applyFont="1" applyProtection="1">
      <protection locked="0"/>
    </xf>
    <xf numFmtId="0" fontId="20" fillId="0" borderId="0" xfId="271" applyFont="1" applyProtection="1">
      <protection locked="0"/>
    </xf>
    <xf numFmtId="168" fontId="20" fillId="0" borderId="0" xfId="271" applyNumberFormat="1" applyFont="1" applyProtection="1">
      <protection locked="0"/>
    </xf>
    <xf numFmtId="49" fontId="24" fillId="0" borderId="0" xfId="271" applyNumberFormat="1"/>
    <xf numFmtId="0" fontId="28" fillId="0" borderId="1" xfId="0" applyFont="1" applyBorder="1"/>
    <xf numFmtId="0" fontId="15" fillId="0" borderId="2" xfId="0" applyFont="1" applyBorder="1" applyAlignment="1">
      <alignment horizontal="left"/>
    </xf>
    <xf numFmtId="0" fontId="15" fillId="0" borderId="2" xfId="0" applyFont="1" applyBorder="1"/>
    <xf numFmtId="0" fontId="28" fillId="0" borderId="8" xfId="0" applyFont="1" applyBorder="1"/>
    <xf numFmtId="0" fontId="28" fillId="0" borderId="9" xfId="0" applyFont="1" applyBorder="1"/>
    <xf numFmtId="0" fontId="22"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4" fillId="5" borderId="0" xfId="0" applyNumberFormat="1" applyFont="1" applyFill="1" applyAlignment="1">
      <alignment horizontal="center"/>
    </xf>
    <xf numFmtId="0" fontId="24" fillId="0" borderId="0" xfId="271" applyAlignment="1" applyProtection="1">
      <alignment horizontal="left"/>
      <protection locked="0"/>
    </xf>
    <xf numFmtId="0" fontId="24" fillId="0" borderId="0" xfId="0" applyFont="1" applyAlignment="1" applyProtection="1">
      <alignment horizontal="left"/>
      <protection locked="0"/>
    </xf>
    <xf numFmtId="0" fontId="74" fillId="0" borderId="0" xfId="0" applyFont="1" applyAlignment="1">
      <alignment horizontal="left" vertical="center"/>
    </xf>
    <xf numFmtId="0" fontId="34" fillId="0" borderId="2" xfId="543" applyFont="1" applyBorder="1" applyAlignment="1">
      <alignment horizontal="center" vertical="top" wrapText="1"/>
    </xf>
    <xf numFmtId="49" fontId="45" fillId="0" borderId="0" xfId="0" applyNumberFormat="1" applyFont="1" applyAlignment="1">
      <alignment horizontal="center"/>
    </xf>
    <xf numFmtId="0" fontId="50" fillId="0" borderId="0" xfId="271" applyFont="1" applyAlignment="1">
      <alignment horizontal="center"/>
    </xf>
    <xf numFmtId="49" fontId="24" fillId="0" borderId="0" xfId="271" applyNumberForma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29"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2" fillId="0" borderId="0" xfId="0" applyFont="1" applyAlignment="1">
      <alignment horizontal="left" vertical="top" wrapText="1"/>
    </xf>
    <xf numFmtId="0" fontId="24" fillId="0" borderId="0" xfId="0" applyFont="1" applyAlignment="1">
      <alignment horizontal="right" vertical="top" wrapText="1"/>
    </xf>
    <xf numFmtId="10" fontId="24"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2" fillId="0" borderId="2" xfId="543" applyFont="1" applyBorder="1" applyAlignment="1">
      <alignment horizontal="center"/>
    </xf>
    <xf numFmtId="0" fontId="0" fillId="0" borderId="0" xfId="543" applyFont="1"/>
    <xf numFmtId="0" fontId="16"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2" fillId="8" borderId="11" xfId="542" applyFont="1" applyFill="1" applyBorder="1" applyAlignment="1">
      <alignment horizontal="left"/>
    </xf>
    <xf numFmtId="0" fontId="22"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2" fillId="0" borderId="0" xfId="271" applyFont="1" applyAlignment="1" applyProtection="1">
      <alignment horizontal="center" wrapText="1"/>
      <protection locked="0"/>
    </xf>
    <xf numFmtId="0" fontId="24" fillId="0" borderId="0" xfId="271" applyAlignment="1" applyProtection="1">
      <alignment vertical="top" wrapText="1"/>
      <protection locked="0"/>
    </xf>
    <xf numFmtId="0" fontId="22" fillId="0" borderId="0" xfId="271" applyFont="1" applyAlignment="1" applyProtection="1">
      <alignment vertical="top" wrapText="1"/>
      <protection locked="0"/>
    </xf>
    <xf numFmtId="0" fontId="22" fillId="0" borderId="8" xfId="271" applyFont="1" applyBorder="1" applyAlignment="1" applyProtection="1">
      <alignment horizontal="center" wrapText="1"/>
      <protection locked="0"/>
    </xf>
    <xf numFmtId="0" fontId="24" fillId="0" borderId="8" xfId="27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15" fillId="0" borderId="0" xfId="0" applyFont="1" applyAlignment="1">
      <alignment horizontal="center"/>
    </xf>
    <xf numFmtId="0" fontId="29" fillId="0" borderId="8" xfId="569" applyFont="1" applyBorder="1" applyAlignment="1">
      <alignment vertical="top" wrapText="1"/>
    </xf>
    <xf numFmtId="0" fontId="29"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8"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2"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0" fillId="0" borderId="0" xfId="569" applyFont="1" applyAlignment="1">
      <alignment vertical="top" wrapText="1"/>
    </xf>
    <xf numFmtId="0" fontId="30" fillId="0" borderId="12" xfId="569" applyFont="1" applyBorder="1" applyAlignment="1">
      <alignment vertical="top" wrapText="1"/>
    </xf>
    <xf numFmtId="0" fontId="30"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5" fillId="0" borderId="0" xfId="569" applyAlignment="1">
      <alignment vertical="top" wrapText="1"/>
    </xf>
    <xf numFmtId="0" fontId="15" fillId="0" borderId="0" xfId="569" applyAlignment="1">
      <alignment vertical="top"/>
    </xf>
    <xf numFmtId="0" fontId="52" fillId="0" borderId="0" xfId="569" applyFont="1" applyAlignment="1">
      <alignment horizontal="right" vertical="top" wrapText="1"/>
    </xf>
    <xf numFmtId="0" fontId="22" fillId="0" borderId="0" xfId="569" applyFont="1" applyAlignment="1">
      <alignment horizontal="left" vertical="top" wrapText="1"/>
    </xf>
    <xf numFmtId="168" fontId="52" fillId="0" borderId="0" xfId="569" applyNumberFormat="1" applyFont="1" applyAlignment="1">
      <alignment horizontal="right" vertical="top" wrapText="1"/>
    </xf>
    <xf numFmtId="0" fontId="15" fillId="0" borderId="0" xfId="569" applyAlignment="1" applyProtection="1">
      <alignment horizontal="left" vertical="top" wrapText="1"/>
      <protection locked="0"/>
    </xf>
    <xf numFmtId="0" fontId="15" fillId="0" borderId="0" xfId="569" applyAlignment="1">
      <alignment horizontal="right" vertical="top" wrapText="1"/>
    </xf>
    <xf numFmtId="0" fontId="15"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29"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5" fillId="0" borderId="0" xfId="569"/>
    <xf numFmtId="0" fontId="21" fillId="0" borderId="0" xfId="569" applyFont="1" applyAlignment="1">
      <alignment horizontal="center" vertical="center"/>
    </xf>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Font="1" applyAlignment="1">
      <alignment vertical="top" wrapText="1"/>
    </xf>
    <xf numFmtId="0" fontId="15" fillId="0" borderId="0" xfId="569" applyAlignment="1">
      <alignment horizontal="right"/>
    </xf>
    <xf numFmtId="0" fontId="15" fillId="0" borderId="0" xfId="569" applyAlignment="1">
      <alignment wrapText="1"/>
    </xf>
    <xf numFmtId="0" fontId="15" fillId="0" borderId="0" xfId="569" applyAlignment="1">
      <alignment vertical="center"/>
    </xf>
    <xf numFmtId="0" fontId="39" fillId="0" borderId="0" xfId="569" applyFont="1" applyAlignment="1">
      <alignment vertical="center" wrapText="1"/>
    </xf>
    <xf numFmtId="0" fontId="33" fillId="0" borderId="0" xfId="569" applyFont="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Alignment="1">
      <alignment horizontal="right"/>
    </xf>
    <xf numFmtId="168" fontId="15" fillId="0" borderId="0" xfId="569" applyNumberFormat="1" applyAlignment="1">
      <alignment horizontal="right"/>
    </xf>
    <xf numFmtId="0" fontId="106" fillId="0" borderId="0" xfId="569" applyFont="1" applyAlignment="1">
      <alignment horizontal="left" vertical="top" wrapText="1"/>
    </xf>
    <xf numFmtId="168" fontId="15" fillId="0" borderId="0" xfId="569" applyNumberFormat="1" applyAlignment="1">
      <alignment wrapText="1"/>
    </xf>
    <xf numFmtId="0" fontId="20" fillId="0" borderId="11" xfId="253" applyFont="1" applyBorder="1" applyAlignment="1">
      <alignment horizontal="center" wrapText="1"/>
    </xf>
    <xf numFmtId="0" fontId="20" fillId="0" borderId="0" xfId="253" applyFont="1" applyAlignment="1">
      <alignment horizontal="center" wrapText="1"/>
    </xf>
    <xf numFmtId="3" fontId="20" fillId="0" borderId="11" xfId="271" applyNumberFormat="1" applyFont="1" applyBorder="1"/>
    <xf numFmtId="3" fontId="20"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0" fillId="0" borderId="11" xfId="271" applyNumberFormat="1" applyFont="1" applyBorder="1"/>
    <xf numFmtId="168" fontId="20" fillId="0" borderId="0" xfId="271" applyNumberFormat="1" applyFont="1"/>
    <xf numFmtId="0" fontId="20" fillId="0" borderId="0" xfId="271" applyFont="1"/>
    <xf numFmtId="0" fontId="52" fillId="0" borderId="0" xfId="569" applyFont="1" applyAlignment="1">
      <alignment horizontal="left"/>
    </xf>
    <xf numFmtId="0" fontId="15" fillId="0" borderId="3" xfId="569" applyBorder="1"/>
    <xf numFmtId="0" fontId="0" fillId="5" borderId="6" xfId="0" applyFill="1" applyBorder="1" applyProtection="1">
      <protection locked="0"/>
    </xf>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5" fillId="0" borderId="0" xfId="1192" applyNumberFormat="1" applyAlignment="1">
      <alignment horizontal="left" vertical="top" wrapText="1"/>
    </xf>
    <xf numFmtId="0" fontId="15" fillId="0" borderId="0" xfId="0" applyFont="1" applyAlignment="1">
      <alignment horizontal="left" vertical="top" wrapText="1"/>
    </xf>
    <xf numFmtId="0" fontId="15" fillId="0" borderId="0" xfId="271" applyFont="1" applyAlignment="1">
      <alignment horizontal="left" vertical="top" wrapText="1"/>
    </xf>
    <xf numFmtId="0" fontId="22" fillId="0" borderId="12" xfId="543" applyFont="1" applyBorder="1" applyAlignment="1">
      <alignment horizontal="right"/>
    </xf>
    <xf numFmtId="0" fontId="34" fillId="0" borderId="0" xfId="543" applyFont="1" applyAlignment="1">
      <alignment horizontal="center"/>
    </xf>
    <xf numFmtId="4" fontId="15" fillId="0" borderId="0" xfId="569" applyNumberFormat="1" applyAlignment="1">
      <alignment horizontal="left"/>
    </xf>
    <xf numFmtId="0" fontId="15" fillId="0" borderId="0" xfId="569" applyAlignment="1">
      <alignment horizontal="left" vertical="top" wrapText="1"/>
    </xf>
    <xf numFmtId="0" fontId="15" fillId="0" borderId="0" xfId="569" applyAlignment="1">
      <alignment horizontal="left"/>
    </xf>
    <xf numFmtId="0" fontId="15" fillId="0" borderId="0" xfId="1192" applyAlignment="1">
      <alignment horizontal="left"/>
    </xf>
    <xf numFmtId="0" fontId="22" fillId="0" borderId="0" xfId="569" applyFont="1" applyAlignment="1">
      <alignment horizontal="left"/>
    </xf>
    <xf numFmtId="0" fontId="44" fillId="0" borderId="0" xfId="1192" applyFont="1"/>
    <xf numFmtId="0" fontId="52" fillId="0" borderId="11" xfId="0" applyFont="1" applyBorder="1" applyAlignment="1">
      <alignment horizontal="right" vertical="center"/>
    </xf>
    <xf numFmtId="0" fontId="15" fillId="0" borderId="0" xfId="1192"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69" applyNumberFormat="1" applyFont="1" applyAlignment="1">
      <alignment horizontal="right" vertical="top"/>
    </xf>
    <xf numFmtId="0" fontId="15" fillId="0" borderId="0" xfId="0" applyFont="1" applyAlignment="1">
      <alignment vertical="top" wrapText="1"/>
    </xf>
    <xf numFmtId="168" fontId="24" fillId="0" borderId="0" xfId="0" applyNumberFormat="1" applyFont="1" applyAlignment="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1192"/>
    <xf numFmtId="0" fontId="15" fillId="0" borderId="0" xfId="0" applyFont="1" applyAlignment="1">
      <alignment wrapText="1"/>
    </xf>
    <xf numFmtId="0" fontId="44" fillId="0" borderId="0" xfId="0" applyFont="1" applyAlignment="1">
      <alignment horizontal="left" vertical="top"/>
    </xf>
    <xf numFmtId="0" fontId="44" fillId="0" borderId="0" xfId="0" applyFont="1" applyAlignment="1">
      <alignment vertical="top"/>
    </xf>
    <xf numFmtId="0" fontId="15" fillId="0" borderId="0" xfId="569" applyAlignment="1">
      <alignment horizontal="center"/>
    </xf>
    <xf numFmtId="0" fontId="33" fillId="0" borderId="0" xfId="569" applyFont="1" applyAlignment="1">
      <alignment horizontal="left"/>
    </xf>
    <xf numFmtId="0" fontId="33" fillId="0" borderId="0" xfId="569" applyFont="1" applyAlignment="1">
      <alignment horizontal="center"/>
    </xf>
    <xf numFmtId="49" fontId="22" fillId="0" borderId="0" xfId="569" applyNumberFormat="1" applyFont="1" applyAlignment="1">
      <alignment horizontal="center"/>
    </xf>
    <xf numFmtId="0" fontId="50" fillId="0" borderId="0" xfId="569" applyFont="1" applyAlignment="1">
      <alignment horizontal="center"/>
    </xf>
    <xf numFmtId="0" fontId="15" fillId="5" borderId="6" xfId="569" applyFill="1" applyBorder="1" applyProtection="1">
      <protection locked="0"/>
    </xf>
    <xf numFmtId="0" fontId="16" fillId="0" borderId="0" xfId="244" applyAlignment="1" applyProtection="1">
      <alignment horizontal="center"/>
    </xf>
    <xf numFmtId="49" fontId="15" fillId="0" borderId="0" xfId="569" applyNumberFormat="1" applyAlignment="1">
      <alignment horizontal="center"/>
    </xf>
    <xf numFmtId="0" fontId="15" fillId="0" borderId="0" xfId="569" applyAlignment="1">
      <alignment horizontal="center" vertical="center"/>
    </xf>
    <xf numFmtId="0" fontId="15" fillId="0" borderId="0" xfId="1192" applyAlignment="1">
      <alignment horizontal="center"/>
    </xf>
    <xf numFmtId="0" fontId="22" fillId="0" borderId="0" xfId="569" applyFont="1" applyAlignment="1">
      <alignment horizontal="center"/>
    </xf>
    <xf numFmtId="0" fontId="15" fillId="0" borderId="0" xfId="569" applyAlignment="1">
      <alignment horizontal="left" indent="4"/>
    </xf>
    <xf numFmtId="0" fontId="15" fillId="0" borderId="0" xfId="569" quotePrefix="1" applyAlignment="1">
      <alignment horizontal="left"/>
    </xf>
    <xf numFmtId="0" fontId="33" fillId="0" borderId="0" xfId="569" applyFont="1"/>
    <xf numFmtId="0" fontId="15" fillId="0" borderId="0" xfId="1192" applyAlignment="1" applyProtection="1">
      <alignment horizontal="left"/>
      <protection locked="0"/>
    </xf>
    <xf numFmtId="0" fontId="15" fillId="0" borderId="0" xfId="569" applyAlignment="1" applyProtection="1">
      <alignment horizontal="left"/>
      <protection locked="0"/>
    </xf>
    <xf numFmtId="49" fontId="15" fillId="0" borderId="0" xfId="1192" applyNumberFormat="1" applyAlignment="1">
      <alignment horizontal="center"/>
    </xf>
    <xf numFmtId="0" fontId="50" fillId="0" borderId="0" xfId="1192" applyFont="1" applyAlignment="1">
      <alignment horizontal="center"/>
    </xf>
    <xf numFmtId="0" fontId="22" fillId="0" borderId="0" xfId="1192" applyFont="1" applyAlignment="1">
      <alignment horizontal="left"/>
    </xf>
    <xf numFmtId="4" fontId="15" fillId="0" borderId="0" xfId="1192" applyNumberFormat="1" applyAlignment="1">
      <alignment horizontal="left"/>
    </xf>
    <xf numFmtId="0" fontId="22" fillId="0" borderId="0" xfId="569" quotePrefix="1" applyFont="1" applyAlignment="1">
      <alignment horizontal="center"/>
    </xf>
    <xf numFmtId="49" fontId="15" fillId="0" borderId="0" xfId="569" applyNumberFormat="1"/>
    <xf numFmtId="0" fontId="47" fillId="0" borderId="0" xfId="569" applyFont="1" applyAlignment="1">
      <alignment horizontal="left"/>
    </xf>
    <xf numFmtId="4" fontId="50" fillId="0" borderId="0" xfId="569" applyNumberFormat="1" applyFont="1" applyAlignment="1">
      <alignment horizontal="center"/>
    </xf>
    <xf numFmtId="4" fontId="15" fillId="0" borderId="0" xfId="569" applyNumberFormat="1" applyAlignment="1">
      <alignment horizontal="center"/>
    </xf>
    <xf numFmtId="4" fontId="15" fillId="0" borderId="0" xfId="569" applyNumberFormat="1"/>
    <xf numFmtId="0" fontId="45" fillId="0" borderId="0" xfId="569" applyFont="1" applyAlignment="1">
      <alignment horizontal="left"/>
    </xf>
    <xf numFmtId="0" fontId="16"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5" fillId="0" borderId="11" xfId="271" applyFont="1" applyBorder="1" applyAlignment="1">
      <alignment horizontal="right" vertical="top" wrapText="1"/>
    </xf>
    <xf numFmtId="0" fontId="23"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3"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5" fillId="0" borderId="0" xfId="271" applyFont="1" applyAlignment="1">
      <alignment horizontal="left" vertical="top"/>
    </xf>
    <xf numFmtId="0" fontId="52" fillId="0" borderId="0" xfId="569" applyFont="1"/>
    <xf numFmtId="0" fontId="15" fillId="0" borderId="0" xfId="0" applyFont="1" applyAlignment="1">
      <alignment horizontal="left" vertical="top"/>
    </xf>
    <xf numFmtId="4" fontId="15" fillId="0" borderId="0" xfId="1192" applyNumberFormat="1" applyAlignment="1">
      <alignment vertical="top" wrapText="1"/>
    </xf>
    <xf numFmtId="0" fontId="22" fillId="0" borderId="16" xfId="271" applyFont="1" applyBorder="1"/>
    <xf numFmtId="0" fontId="59" fillId="0" borderId="0" xfId="569" applyFont="1"/>
    <xf numFmtId="0" fontId="39" fillId="0" borderId="0" xfId="569" applyFont="1"/>
    <xf numFmtId="0" fontId="15" fillId="0" borderId="0" xfId="1192" applyAlignment="1">
      <alignment vertical="top" wrapText="1"/>
    </xf>
    <xf numFmtId="49" fontId="15" fillId="0" borderId="0" xfId="1192" applyNumberFormat="1" applyAlignment="1">
      <alignment vertical="top" wrapText="1"/>
    </xf>
    <xf numFmtId="0" fontId="54" fillId="0" borderId="9" xfId="543" applyFont="1" applyBorder="1" applyAlignment="1">
      <alignment vertical="top"/>
    </xf>
    <xf numFmtId="0" fontId="15"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5" fillId="0" borderId="8" xfId="543" applyNumberFormat="1" applyBorder="1"/>
    <xf numFmtId="0" fontId="15" fillId="0" borderId="8" xfId="4495" applyFont="1" applyBorder="1"/>
    <xf numFmtId="0" fontId="15" fillId="0" borderId="0" xfId="4495" applyFont="1"/>
    <xf numFmtId="0" fontId="21" fillId="0" borderId="0" xfId="4495" applyFont="1" applyAlignment="1">
      <alignment horizontal="center" vertical="center"/>
    </xf>
    <xf numFmtId="0" fontId="22" fillId="0" borderId="0" xfId="4495" applyFont="1" applyAlignment="1">
      <alignment horizontal="left"/>
    </xf>
    <xf numFmtId="0" fontId="22" fillId="0" borderId="0" xfId="4495" applyFont="1"/>
    <xf numFmtId="0" fontId="25" fillId="0" borderId="0" xfId="4495" applyFont="1" applyAlignment="1">
      <alignment horizontal="center" vertical="center"/>
    </xf>
    <xf numFmtId="0" fontId="25" fillId="0" borderId="27" xfId="4495" applyFont="1" applyBorder="1" applyAlignment="1">
      <alignment horizontal="center" vertical="center"/>
    </xf>
    <xf numFmtId="0" fontId="25" fillId="0" borderId="46" xfId="4495" applyFont="1" applyBorder="1" applyAlignment="1">
      <alignment horizontal="center" vertical="center"/>
    </xf>
    <xf numFmtId="0" fontId="22" fillId="0" borderId="0" xfId="4495" applyFont="1" applyAlignment="1">
      <alignment horizontal="right"/>
    </xf>
    <xf numFmtId="0" fontId="33" fillId="0" borderId="0" xfId="4495" applyFont="1" applyAlignment="1">
      <alignment horizontal="left" vertical="center"/>
    </xf>
    <xf numFmtId="0" fontId="15" fillId="0" borderId="0" xfId="1192" quotePrefix="1" applyAlignment="1">
      <alignment horizontal="center"/>
    </xf>
    <xf numFmtId="0" fontId="45" fillId="0" borderId="0" xfId="4495" applyFont="1" applyAlignment="1">
      <alignment horizontal="left" vertical="center"/>
    </xf>
    <xf numFmtId="49" fontId="23" fillId="0" borderId="0" xfId="4495" applyNumberFormat="1" applyFont="1" applyAlignment="1">
      <alignment horizontal="left" vertical="top"/>
    </xf>
    <xf numFmtId="0" fontId="15" fillId="0" borderId="47" xfId="4495" applyFont="1" applyBorder="1" applyAlignment="1">
      <alignment horizontal="left" vertical="center"/>
    </xf>
    <xf numFmtId="0" fontId="25" fillId="0" borderId="48" xfId="4495" applyFont="1" applyBorder="1" applyAlignment="1">
      <alignment horizontal="center" vertical="center"/>
    </xf>
    <xf numFmtId="0" fontId="23" fillId="0" borderId="0" xfId="4495" applyFont="1"/>
    <xf numFmtId="0" fontId="23"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5"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5" fillId="0" borderId="0" xfId="4496" applyFont="1" applyAlignment="1">
      <alignment vertical="center"/>
    </xf>
    <xf numFmtId="0" fontId="23" fillId="0" borderId="3" xfId="4495" applyFont="1" applyBorder="1" applyAlignment="1">
      <alignment vertical="top" wrapText="1"/>
    </xf>
    <xf numFmtId="0" fontId="23" fillId="0" borderId="4" xfId="4495" applyFont="1" applyBorder="1" applyAlignment="1">
      <alignment vertical="top" wrapText="1"/>
    </xf>
    <xf numFmtId="164" fontId="119" fillId="0" borderId="4" xfId="4495" applyNumberFormat="1" applyBorder="1" applyAlignment="1">
      <alignment horizontal="right"/>
    </xf>
    <xf numFmtId="0" fontId="23" fillId="0" borderId="4" xfId="4495" applyFont="1" applyBorder="1"/>
    <xf numFmtId="0" fontId="22" fillId="0" borderId="5" xfId="4495" applyFont="1" applyBorder="1" applyAlignment="1">
      <alignment horizontal="right"/>
    </xf>
    <xf numFmtId="0" fontId="15" fillId="0" borderId="16" xfId="4495" applyFont="1" applyBorder="1"/>
    <xf numFmtId="0" fontId="15" fillId="0" borderId="16" xfId="4495" applyFont="1" applyBorder="1" applyAlignment="1">
      <alignment horizontal="left" vertical="top"/>
    </xf>
    <xf numFmtId="0" fontId="23" fillId="0" borderId="16" xfId="4495" applyFont="1" applyBorder="1" applyAlignment="1">
      <alignment horizontal="left" vertical="top" wrapText="1"/>
    </xf>
    <xf numFmtId="0" fontId="23" fillId="0" borderId="45" xfId="4495" applyFont="1" applyBorder="1" applyAlignment="1">
      <alignment horizontal="left" vertical="top" wrapText="1"/>
    </xf>
    <xf numFmtId="0" fontId="119" fillId="0" borderId="0" xfId="4495"/>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5" applyFont="1" applyAlignment="1">
      <alignment horizontal="left" vertical="top" wrapText="1"/>
    </xf>
    <xf numFmtId="0" fontId="23" fillId="0" borderId="0" xfId="4495" applyFont="1" applyAlignment="1">
      <alignment horizontal="right" vertical="top"/>
    </xf>
    <xf numFmtId="0" fontId="15"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2" fillId="0" borderId="57" xfId="4495" applyFont="1" applyBorder="1"/>
    <xf numFmtId="0" fontId="22" fillId="0" borderId="58" xfId="4495" applyFont="1" applyBorder="1"/>
    <xf numFmtId="0" fontId="22" fillId="0" borderId="58" xfId="4495" applyFont="1" applyBorder="1" applyAlignment="1">
      <alignment horizontal="right"/>
    </xf>
    <xf numFmtId="0" fontId="22"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5" fillId="0" borderId="57" xfId="4495" applyFont="1" applyBorder="1" applyAlignment="1">
      <alignment horizontal="center" vertical="center"/>
    </xf>
    <xf numFmtId="0" fontId="25" fillId="0" borderId="58" xfId="4495" applyFont="1" applyBorder="1" applyAlignment="1">
      <alignment horizontal="center" vertical="center"/>
    </xf>
    <xf numFmtId="0" fontId="25" fillId="0" borderId="59" xfId="4495" applyFont="1" applyBorder="1" applyAlignment="1">
      <alignment horizontal="center" vertical="center"/>
    </xf>
    <xf numFmtId="0" fontId="22" fillId="0" borderId="0" xfId="4495" applyFont="1" applyAlignment="1">
      <alignment horizontal="center"/>
    </xf>
    <xf numFmtId="0" fontId="22" fillId="0" borderId="8" xfId="4495" applyFont="1" applyBorder="1"/>
    <xf numFmtId="0" fontId="23" fillId="0" borderId="0" xfId="4495" applyFont="1" applyAlignment="1">
      <alignment horizontal="left"/>
    </xf>
    <xf numFmtId="0" fontId="22" fillId="0" borderId="0" xfId="4495" applyFont="1" applyAlignment="1">
      <alignment horizontal="center" vertical="top"/>
    </xf>
    <xf numFmtId="0" fontId="15" fillId="0" borderId="0" xfId="4495" applyFont="1" applyAlignment="1">
      <alignment horizontal="center"/>
    </xf>
    <xf numFmtId="0" fontId="31" fillId="0" borderId="0" xfId="4495" applyFont="1"/>
    <xf numFmtId="0" fontId="23" fillId="0" borderId="8" xfId="4495" applyFont="1" applyBorder="1"/>
    <xf numFmtId="0" fontId="52" fillId="0" borderId="8" xfId="4495" applyFont="1" applyBorder="1"/>
    <xf numFmtId="1" fontId="15" fillId="0" borderId="0" xfId="1192" applyNumberFormat="1"/>
    <xf numFmtId="0" fontId="15" fillId="0" borderId="3" xfId="4495" applyFont="1" applyBorder="1"/>
    <xf numFmtId="0" fontId="15" fillId="0" borderId="4" xfId="4495" applyFont="1" applyBorder="1"/>
    <xf numFmtId="0" fontId="15" fillId="0" borderId="0" xfId="1192" applyAlignment="1">
      <alignment wrapText="1"/>
    </xf>
    <xf numFmtId="0" fontId="23" fillId="0" borderId="0" xfId="4495" applyFont="1" applyAlignment="1">
      <alignment vertical="top" wrapText="1"/>
    </xf>
    <xf numFmtId="0" fontId="23" fillId="0" borderId="0" xfId="1192" applyFont="1"/>
    <xf numFmtId="0" fontId="15" fillId="0" borderId="0" xfId="4495" applyFont="1" applyAlignment="1">
      <alignment horizontal="left"/>
    </xf>
    <xf numFmtId="0" fontId="23" fillId="0" borderId="3" xfId="4495" applyFont="1" applyBorder="1"/>
    <xf numFmtId="0" fontId="15" fillId="0" borderId="4" xfId="4495" applyFont="1" applyBorder="1" applyAlignment="1">
      <alignment horizontal="right"/>
    </xf>
    <xf numFmtId="1" fontId="15" fillId="0" borderId="0" xfId="4495" applyNumberFormat="1" applyFont="1" applyAlignment="1">
      <alignment horizontal="center"/>
    </xf>
    <xf numFmtId="0" fontId="52" fillId="0" borderId="0" xfId="4495" applyFont="1"/>
    <xf numFmtId="0" fontId="15" fillId="0" borderId="0" xfId="4495" applyFont="1" applyAlignment="1">
      <alignment horizontal="right"/>
    </xf>
    <xf numFmtId="0" fontId="23" fillId="0" borderId="0" xfId="4495" applyFont="1" applyAlignment="1">
      <alignment vertical="top"/>
    </xf>
    <xf numFmtId="0" fontId="23" fillId="0" borderId="27" xfId="4495" applyFont="1" applyBorder="1"/>
    <xf numFmtId="0" fontId="22" fillId="0" borderId="0" xfId="4495" applyFont="1" applyAlignment="1">
      <alignment vertical="top"/>
    </xf>
    <xf numFmtId="0" fontId="33" fillId="0" borderId="0" xfId="4495" applyFont="1" applyAlignment="1">
      <alignment vertical="top" wrapText="1"/>
    </xf>
    <xf numFmtId="0" fontId="22" fillId="0" borderId="0" xfId="4495" applyFont="1" applyAlignment="1">
      <alignment horizontal="left" vertical="top" wrapText="1"/>
    </xf>
    <xf numFmtId="0" fontId="15" fillId="0" borderId="0" xfId="4495" applyFont="1" applyAlignment="1">
      <alignment horizontal="left" vertical="top"/>
    </xf>
    <xf numFmtId="0" fontId="33" fillId="0" borderId="0" xfId="4495" applyFont="1" applyAlignment="1">
      <alignment vertical="top"/>
    </xf>
    <xf numFmtId="0" fontId="15" fillId="0" borderId="10" xfId="4495" applyFont="1" applyBorder="1" applyAlignment="1">
      <alignment horizontal="center"/>
    </xf>
    <xf numFmtId="0" fontId="15" fillId="0" borderId="16" xfId="4495" applyFont="1" applyBorder="1" applyAlignment="1">
      <alignment horizontal="center"/>
    </xf>
    <xf numFmtId="0" fontId="31" fillId="0" borderId="16" xfId="4495" applyFont="1" applyBorder="1"/>
    <xf numFmtId="0" fontId="23" fillId="0" borderId="16" xfId="4495" applyFont="1" applyBorder="1"/>
    <xf numFmtId="0" fontId="15" fillId="0" borderId="0" xfId="4496" applyFont="1" applyAlignment="1">
      <alignment vertical="top" wrapText="1"/>
    </xf>
    <xf numFmtId="0" fontId="22" fillId="0" borderId="0" xfId="1192" applyFont="1" applyAlignment="1">
      <alignment horizontal="right"/>
    </xf>
    <xf numFmtId="0" fontId="15" fillId="0" borderId="0" xfId="4496" applyFont="1"/>
    <xf numFmtId="0" fontId="15" fillId="0" borderId="0" xfId="4496" applyFont="1" applyAlignment="1">
      <alignment horizontal="left"/>
    </xf>
    <xf numFmtId="0" fontId="15" fillId="0" borderId="0" xfId="4496" applyFont="1" applyAlignment="1">
      <alignment horizontal="right"/>
    </xf>
    <xf numFmtId="0" fontId="23" fillId="0" borderId="0" xfId="4496" applyFont="1" applyAlignment="1">
      <alignment vertical="top" wrapText="1"/>
    </xf>
    <xf numFmtId="0" fontId="15" fillId="0" borderId="4" xfId="4496" applyFont="1" applyBorder="1"/>
    <xf numFmtId="0" fontId="22" fillId="0" borderId="4" xfId="4496" applyFont="1" applyBorder="1" applyAlignment="1">
      <alignment horizontal="right"/>
    </xf>
    <xf numFmtId="0" fontId="23" fillId="0" borderId="27" xfId="4495" applyFont="1" applyBorder="1" applyAlignment="1">
      <alignment horizontal="left" vertical="top"/>
    </xf>
    <xf numFmtId="0" fontId="15" fillId="0" borderId="27" xfId="4495" applyFont="1" applyBorder="1" applyAlignment="1">
      <alignment horizontal="left" vertical="top"/>
    </xf>
    <xf numFmtId="0" fontId="22" fillId="0" borderId="27" xfId="4495" applyFont="1" applyBorder="1" applyAlignment="1">
      <alignment horizontal="right"/>
    </xf>
    <xf numFmtId="0" fontId="15" fillId="0" borderId="27" xfId="4495" applyFont="1" applyBorder="1" applyAlignment="1">
      <alignment horizontal="center"/>
    </xf>
    <xf numFmtId="0" fontId="15" fillId="0" borderId="46" xfId="4495" applyFont="1" applyBorder="1" applyAlignment="1">
      <alignment horizontal="center"/>
    </xf>
    <xf numFmtId="164" fontId="23" fillId="0" borderId="0" xfId="4495" applyNumberFormat="1" applyFont="1" applyAlignment="1">
      <alignment horizontal="left" vertical="top" wrapText="1"/>
    </xf>
    <xf numFmtId="0" fontId="26" fillId="0" borderId="0" xfId="4495" applyFont="1"/>
    <xf numFmtId="0" fontId="23" fillId="0" borderId="0" xfId="4495" applyFont="1" applyAlignment="1">
      <alignment horizontal="right"/>
    </xf>
    <xf numFmtId="0" fontId="15" fillId="0" borderId="27" xfId="543" applyBorder="1"/>
    <xf numFmtId="0" fontId="15" fillId="0" borderId="46" xfId="543" applyBorder="1"/>
    <xf numFmtId="0" fontId="22" fillId="0" borderId="0" xfId="4495" applyFont="1" applyAlignment="1">
      <alignment horizontal="left" vertical="top"/>
    </xf>
    <xf numFmtId="1" fontId="119" fillId="0" borderId="0" xfId="4495" applyNumberFormat="1"/>
    <xf numFmtId="0" fontId="15" fillId="0" borderId="0" xfId="4495" applyFont="1" applyAlignment="1">
      <alignment vertical="top" wrapText="1"/>
    </xf>
    <xf numFmtId="0" fontId="15" fillId="0" borderId="0" xfId="4495" applyFont="1" applyAlignment="1">
      <alignment horizontal="left" vertical="top" wrapText="1"/>
    </xf>
    <xf numFmtId="0" fontId="15" fillId="0" borderId="50" xfId="4495" applyFont="1" applyBorder="1" applyAlignment="1">
      <alignment vertical="top"/>
    </xf>
    <xf numFmtId="0" fontId="15" fillId="0" borderId="51" xfId="4495" applyFont="1" applyBorder="1" applyAlignment="1">
      <alignment vertical="top"/>
    </xf>
    <xf numFmtId="0" fontId="15" fillId="0" borderId="52" xfId="4495" applyFont="1" applyBorder="1" applyAlignment="1">
      <alignment vertical="top"/>
    </xf>
    <xf numFmtId="1" fontId="23" fillId="0" borderId="8" xfId="4495" applyNumberFormat="1" applyFont="1" applyBorder="1"/>
    <xf numFmtId="0" fontId="15" fillId="0" borderId="0" xfId="543" applyAlignment="1">
      <alignment vertical="top"/>
    </xf>
    <xf numFmtId="0" fontId="23" fillId="0" borderId="51" xfId="4495" applyFont="1" applyBorder="1" applyAlignment="1">
      <alignment horizontal="left" vertical="top"/>
    </xf>
    <xf numFmtId="0" fontId="23" fillId="0" borderId="52" xfId="4495" applyFont="1" applyBorder="1" applyAlignment="1">
      <alignment horizontal="left" vertical="top"/>
    </xf>
    <xf numFmtId="0" fontId="119" fillId="0" borderId="0" xfId="4495" applyAlignment="1" applyProtection="1">
      <alignment horizontal="center"/>
      <protection locked="0"/>
    </xf>
    <xf numFmtId="0" fontId="15" fillId="0" borderId="53" xfId="4495" applyFont="1" applyBorder="1" applyAlignment="1">
      <alignment vertical="top"/>
    </xf>
    <xf numFmtId="0" fontId="15" fillId="0" borderId="54" xfId="4495" applyFont="1" applyBorder="1" applyAlignment="1">
      <alignment vertical="top" wrapText="1"/>
    </xf>
    <xf numFmtId="0" fontId="60" fillId="0" borderId="53" xfId="4495" applyFont="1" applyBorder="1"/>
    <xf numFmtId="0" fontId="23" fillId="0" borderId="54" xfId="4495" applyFont="1" applyBorder="1" applyAlignment="1">
      <alignment horizontal="left" vertical="top"/>
    </xf>
    <xf numFmtId="0" fontId="15" fillId="0" borderId="53" xfId="4495" applyFont="1" applyBorder="1" applyAlignment="1">
      <alignment vertical="center" wrapText="1"/>
    </xf>
    <xf numFmtId="0" fontId="60" fillId="0" borderId="57" xfId="4495" applyFont="1" applyBorder="1"/>
    <xf numFmtId="0" fontId="23" fillId="0" borderId="58" xfId="4495" applyFont="1" applyBorder="1" applyAlignment="1">
      <alignment horizontal="left" vertical="top"/>
    </xf>
    <xf numFmtId="0" fontId="23" fillId="0" borderId="12" xfId="4495" applyFont="1" applyBorder="1"/>
    <xf numFmtId="0" fontId="15" fillId="0" borderId="57" xfId="4495" applyFont="1" applyBorder="1" applyAlignment="1">
      <alignment vertical="center"/>
    </xf>
    <xf numFmtId="0" fontId="15" fillId="0" borderId="58" xfId="4495" applyFont="1" applyBorder="1" applyAlignment="1">
      <alignment vertical="top"/>
    </xf>
    <xf numFmtId="0" fontId="15" fillId="0" borderId="59" xfId="4495" applyFont="1" applyBorder="1" applyAlignment="1">
      <alignment vertical="top"/>
    </xf>
    <xf numFmtId="0" fontId="15" fillId="0" borderId="0" xfId="4495" applyFont="1" applyAlignment="1">
      <alignment vertical="top"/>
    </xf>
    <xf numFmtId="0" fontId="23" fillId="0" borderId="4" xfId="4495" applyFont="1" applyBorder="1" applyAlignment="1">
      <alignment horizontal="left" vertical="top"/>
    </xf>
    <xf numFmtId="0" fontId="15" fillId="0" borderId="4" xfId="4495" applyFont="1" applyBorder="1" applyAlignment="1">
      <alignment horizontal="left" vertical="top"/>
    </xf>
    <xf numFmtId="0" fontId="15" fillId="0" borderId="2" xfId="4495" applyFont="1" applyBorder="1"/>
    <xf numFmtId="0" fontId="23" fillId="0" borderId="2" xfId="4495" applyFont="1" applyBorder="1"/>
    <xf numFmtId="0" fontId="15" fillId="0" borderId="2" xfId="4495" applyFont="1" applyBorder="1" applyAlignment="1">
      <alignment horizontal="center"/>
    </xf>
    <xf numFmtId="0" fontId="23" fillId="0" borderId="7" xfId="4495" applyFont="1" applyBorder="1"/>
    <xf numFmtId="0" fontId="31" fillId="0" borderId="0" xfId="4495" applyFont="1" applyAlignment="1">
      <alignment horizontal="right"/>
    </xf>
    <xf numFmtId="0" fontId="125" fillId="0" borderId="0" xfId="4495" applyFont="1" applyAlignment="1">
      <alignment horizontal="left" vertical="top" wrapText="1"/>
    </xf>
    <xf numFmtId="0" fontId="31" fillId="0" borderId="0" xfId="4495" applyFont="1" applyAlignment="1">
      <alignment horizontal="left" vertical="top"/>
    </xf>
    <xf numFmtId="0" fontId="23" fillId="0" borderId="0" xfId="4495" quotePrefix="1" applyFont="1" applyAlignment="1">
      <alignment horizontal="right"/>
    </xf>
    <xf numFmtId="0" fontId="15" fillId="0" borderId="0" xfId="4497"/>
    <xf numFmtId="0" fontId="23" fillId="0" borderId="0" xfId="4495" applyFont="1" applyAlignment="1">
      <alignment horizontal="left" vertical="top" wrapText="1" shrinkToFit="1"/>
    </xf>
    <xf numFmtId="0" fontId="119" fillId="0" borderId="0" xfId="4495" applyAlignment="1">
      <alignment vertical="top" wrapText="1"/>
    </xf>
    <xf numFmtId="0" fontId="23" fillId="0" borderId="4" xfId="4495" applyFont="1" applyBorder="1" applyAlignment="1">
      <alignment horizontal="left" vertical="top" wrapText="1" shrinkToFit="1"/>
    </xf>
    <xf numFmtId="0" fontId="31" fillId="0" borderId="8" xfId="4495" applyFont="1" applyBorder="1"/>
    <xf numFmtId="0" fontId="23" fillId="0" borderId="0" xfId="4495" applyFont="1" applyAlignment="1">
      <alignment horizontal="center"/>
    </xf>
    <xf numFmtId="0" fontId="23" fillId="0" borderId="0" xfId="4495" quotePrefix="1" applyFont="1"/>
    <xf numFmtId="0" fontId="23" fillId="0" borderId="0" xfId="4495" applyFont="1" applyAlignment="1">
      <alignment horizontal="left" vertical="top" shrinkToFit="1"/>
    </xf>
    <xf numFmtId="0" fontId="45" fillId="0" borderId="0" xfId="4495" applyFont="1"/>
    <xf numFmtId="0" fontId="23" fillId="0" borderId="3" xfId="4495" applyFont="1" applyBorder="1" applyAlignment="1">
      <alignment horizontal="center"/>
    </xf>
    <xf numFmtId="0" fontId="119" fillId="0" borderId="8" xfId="4495" applyBorder="1"/>
    <xf numFmtId="0" fontId="22" fillId="0" borderId="8" xfId="4495" applyFont="1" applyBorder="1" applyAlignment="1">
      <alignment vertical="top"/>
    </xf>
    <xf numFmtId="0" fontId="119" fillId="0" borderId="0" xfId="4495" applyAlignment="1">
      <alignment vertical="top"/>
    </xf>
    <xf numFmtId="0" fontId="22"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5" fillId="0" borderId="0" xfId="4497" applyNumberFormat="1"/>
    <xf numFmtId="1" fontId="23"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3" fillId="0" borderId="6" xfId="4495" applyFont="1" applyBorder="1"/>
    <xf numFmtId="1" fontId="23" fillId="0" borderId="8" xfId="4495" applyNumberFormat="1" applyFont="1" applyBorder="1" applyAlignment="1">
      <alignment horizontal="center" vertical="top"/>
    </xf>
    <xf numFmtId="0" fontId="119" fillId="0" borderId="12" xfId="4495" applyBorder="1"/>
    <xf numFmtId="0" fontId="23" fillId="0" borderId="9" xfId="4495" applyFont="1" applyBorder="1"/>
    <xf numFmtId="0" fontId="119" fillId="0" borderId="10" xfId="4495" applyBorder="1"/>
    <xf numFmtId="0" fontId="31" fillId="0" borderId="3" xfId="4495" applyFont="1" applyBorder="1"/>
    <xf numFmtId="0" fontId="22" fillId="0" borderId="4" xfId="4495" applyFont="1" applyBorder="1"/>
    <xf numFmtId="0" fontId="119" fillId="0" borderId="12" xfId="4495" applyBorder="1" applyAlignment="1">
      <alignment vertical="top"/>
    </xf>
    <xf numFmtId="0" fontId="31"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1" fillId="0" borderId="9" xfId="4495" applyFont="1" applyBorder="1"/>
    <xf numFmtId="0" fontId="23" fillId="0" borderId="10" xfId="4495" applyFont="1" applyBorder="1"/>
    <xf numFmtId="0" fontId="129" fillId="0" borderId="0" xfId="4495" applyFont="1" applyAlignment="1">
      <alignment wrapText="1"/>
    </xf>
    <xf numFmtId="0" fontId="31" fillId="0" borderId="9" xfId="4495" applyFont="1" applyBorder="1" applyAlignment="1">
      <alignment horizontal="center"/>
    </xf>
    <xf numFmtId="0" fontId="22" fillId="0" borderId="10" xfId="4495" applyFont="1" applyBorder="1"/>
    <xf numFmtId="0" fontId="33" fillId="0" borderId="0" xfId="4495" applyFont="1"/>
    <xf numFmtId="0" fontId="23" fillId="0" borderId="50" xfId="4495" applyFont="1" applyBorder="1"/>
    <xf numFmtId="0" fontId="23" fillId="0" borderId="51" xfId="4495" applyFont="1" applyBorder="1"/>
    <xf numFmtId="1" fontId="23" fillId="0" borderId="51" xfId="4495" quotePrefix="1" applyNumberFormat="1" applyFont="1" applyBorder="1" applyAlignment="1">
      <alignment horizontal="center" vertical="top"/>
    </xf>
    <xf numFmtId="0" fontId="22" fillId="0" borderId="51" xfId="4495" applyFont="1" applyBorder="1"/>
    <xf numFmtId="0" fontId="22" fillId="0" borderId="52" xfId="4495" applyFont="1" applyBorder="1" applyAlignment="1">
      <alignment horizontal="center"/>
    </xf>
    <xf numFmtId="0" fontId="15" fillId="0" borderId="53" xfId="4495" applyFont="1" applyBorder="1"/>
    <xf numFmtId="1" fontId="23" fillId="0" borderId="0" xfId="4495" quotePrefix="1" applyNumberFormat="1" applyFont="1" applyAlignment="1">
      <alignment horizontal="center" vertical="top"/>
    </xf>
    <xf numFmtId="0" fontId="22" fillId="0" borderId="54" xfId="4495" applyFont="1" applyBorder="1" applyAlignment="1">
      <alignment horizontal="center"/>
    </xf>
    <xf numFmtId="0" fontId="31" fillId="0" borderId="0" xfId="4495" applyFont="1" applyAlignment="1">
      <alignment vertical="top"/>
    </xf>
    <xf numFmtId="0" fontId="23" fillId="0" borderId="61" xfId="4495" applyFont="1" applyBorder="1"/>
    <xf numFmtId="0" fontId="119" fillId="0" borderId="58" xfId="4495" applyBorder="1" applyAlignment="1">
      <alignment horizontal="center"/>
    </xf>
    <xf numFmtId="1" fontId="23" fillId="0" borderId="58" xfId="4495" quotePrefix="1" applyNumberFormat="1" applyFont="1" applyBorder="1" applyAlignment="1">
      <alignment horizontal="center" vertical="top"/>
    </xf>
    <xf numFmtId="0" fontId="31" fillId="0" borderId="58" xfId="4495" applyFont="1" applyBorder="1" applyAlignment="1">
      <alignment vertical="top"/>
    </xf>
    <xf numFmtId="0" fontId="23" fillId="0" borderId="58" xfId="4495" applyFont="1" applyBorder="1" applyAlignment="1">
      <alignment vertical="top" wrapText="1"/>
    </xf>
    <xf numFmtId="0" fontId="23" fillId="0" borderId="58" xfId="4495" applyFont="1" applyBorder="1"/>
    <xf numFmtId="0" fontId="22" fillId="0" borderId="58" xfId="4495" applyFont="1" applyBorder="1" applyAlignment="1">
      <alignment horizontal="center"/>
    </xf>
    <xf numFmtId="0" fontId="119" fillId="0" borderId="61" xfId="4495" applyBorder="1"/>
    <xf numFmtId="0" fontId="119" fillId="0" borderId="0" xfId="4495" applyAlignment="1">
      <alignment horizontal="center"/>
    </xf>
    <xf numFmtId="0" fontId="15" fillId="0" borderId="53" xfId="543" applyBorder="1"/>
    <xf numFmtId="0" fontId="23" fillId="0" borderId="54" xfId="4495" applyFont="1" applyBorder="1"/>
    <xf numFmtId="0" fontId="15" fillId="0" borderId="58" xfId="543" applyBorder="1"/>
    <xf numFmtId="1" fontId="23" fillId="0" borderId="58" xfId="4495" applyNumberFormat="1" applyFont="1" applyBorder="1" applyAlignment="1">
      <alignment horizontal="center" vertical="top"/>
    </xf>
    <xf numFmtId="0" fontId="31" fillId="0" borderId="58" xfId="4495" applyFont="1" applyBorder="1" applyAlignment="1">
      <alignment vertical="center"/>
    </xf>
    <xf numFmtId="0" fontId="119" fillId="0" borderId="58" xfId="4495" applyBorder="1" applyAlignment="1">
      <alignment vertical="top" wrapText="1"/>
    </xf>
    <xf numFmtId="0" fontId="15" fillId="0" borderId="58" xfId="4495" applyFont="1" applyBorder="1"/>
    <xf numFmtId="0" fontId="31" fillId="0" borderId="0" xfId="4495" applyFont="1" applyAlignment="1">
      <alignment vertical="center"/>
    </xf>
    <xf numFmtId="0" fontId="23" fillId="0" borderId="53" xfId="4495" applyFont="1" applyBorder="1"/>
    <xf numFmtId="0" fontId="15" fillId="0" borderId="57" xfId="543" applyBorder="1"/>
    <xf numFmtId="0" fontId="23" fillId="0" borderId="58" xfId="4495" applyFont="1" applyBorder="1" applyAlignment="1">
      <alignment vertical="top"/>
    </xf>
    <xf numFmtId="0" fontId="23" fillId="0" borderId="59" xfId="4495" applyFont="1" applyBorder="1"/>
    <xf numFmtId="0" fontId="23" fillId="0" borderId="57" xfId="4495" applyFont="1" applyBorder="1"/>
    <xf numFmtId="0" fontId="15" fillId="0" borderId="51" xfId="4495" applyFont="1" applyBorder="1"/>
    <xf numFmtId="0" fontId="23" fillId="0" borderId="52" xfId="4495" applyFont="1" applyBorder="1"/>
    <xf numFmtId="0" fontId="15" fillId="0" borderId="50" xfId="543" applyBorder="1"/>
    <xf numFmtId="0" fontId="15" fillId="0" borderId="51" xfId="543" applyBorder="1"/>
    <xf numFmtId="0" fontId="15" fillId="0" borderId="52" xfId="543" applyBorder="1"/>
    <xf numFmtId="0" fontId="23" fillId="0" borderId="0" xfId="4495" applyFont="1" applyAlignment="1">
      <alignment wrapText="1"/>
    </xf>
    <xf numFmtId="0" fontId="22" fillId="0" borderId="54" xfId="4495" applyFont="1" applyBorder="1" applyAlignment="1">
      <alignment horizontal="center" vertical="top"/>
    </xf>
    <xf numFmtId="0" fontId="119" fillId="0" borderId="53" xfId="4495" applyBorder="1" applyAlignment="1">
      <alignment horizontal="center"/>
    </xf>
    <xf numFmtId="2" fontId="23" fillId="0" borderId="0" xfId="4495" applyNumberFormat="1" applyFont="1" applyAlignment="1">
      <alignment horizontal="right"/>
    </xf>
    <xf numFmtId="2" fontId="23" fillId="0" borderId="8" xfId="4495" applyNumberFormat="1" applyFont="1" applyBorder="1" applyAlignment="1">
      <alignment horizontal="left"/>
    </xf>
    <xf numFmtId="0" fontId="23"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2" fillId="0" borderId="59" xfId="4495" applyFont="1" applyBorder="1" applyAlignment="1">
      <alignment horizontal="center"/>
    </xf>
    <xf numFmtId="9" fontId="23" fillId="0" borderId="0" xfId="4495" applyNumberFormat="1" applyFont="1" applyAlignment="1">
      <alignment horizontal="left"/>
    </xf>
    <xf numFmtId="0" fontId="15" fillId="0" borderId="17" xfId="543" applyBorder="1"/>
    <xf numFmtId="0" fontId="15" fillId="0" borderId="16" xfId="543" applyBorder="1"/>
    <xf numFmtId="0" fontId="15" fillId="0" borderId="51" xfId="4495" quotePrefix="1" applyFont="1" applyBorder="1" applyAlignment="1">
      <alignment horizontal="center" vertical="top"/>
    </xf>
    <xf numFmtId="0" fontId="23" fillId="0" borderId="53" xfId="4495" applyFont="1" applyBorder="1" applyAlignment="1">
      <alignment horizontal="left" vertical="top"/>
    </xf>
    <xf numFmtId="0" fontId="23" fillId="0" borderId="0" xfId="4495" applyFont="1" applyAlignment="1">
      <alignment horizontal="center" vertical="top"/>
    </xf>
    <xf numFmtId="0" fontId="23" fillId="0" borderId="57" xfId="4495" applyFont="1" applyBorder="1" applyAlignment="1">
      <alignment horizontal="left" vertical="top"/>
    </xf>
    <xf numFmtId="0" fontId="23" fillId="0" borderId="58" xfId="4495" applyFont="1" applyBorder="1" applyAlignment="1">
      <alignment horizontal="center" vertical="top"/>
    </xf>
    <xf numFmtId="0" fontId="119" fillId="0" borderId="58" xfId="4495" applyBorder="1"/>
    <xf numFmtId="0" fontId="22" fillId="0" borderId="58" xfId="4495" applyFont="1" applyBorder="1" applyAlignment="1">
      <alignment vertical="top"/>
    </xf>
    <xf numFmtId="0" fontId="22" fillId="0" borderId="58" xfId="4495" applyFont="1" applyBorder="1" applyAlignment="1">
      <alignment horizontal="left" vertical="top"/>
    </xf>
    <xf numFmtId="0" fontId="22" fillId="0" borderId="51" xfId="4495" applyFont="1" applyBorder="1" applyAlignment="1">
      <alignment horizontal="left" vertical="top"/>
    </xf>
    <xf numFmtId="0" fontId="22" fillId="0" borderId="53" xfId="4495" applyFont="1" applyBorder="1" applyAlignment="1">
      <alignment horizontal="left" vertical="top"/>
    </xf>
    <xf numFmtId="0" fontId="52" fillId="0" borderId="0" xfId="4495" applyFont="1" applyAlignment="1">
      <alignment horizontal="left" vertical="top"/>
    </xf>
    <xf numFmtId="0" fontId="23"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1" fillId="0" borderId="53" xfId="4495" applyFont="1" applyBorder="1"/>
    <xf numFmtId="2" fontId="23" fillId="0" borderId="8" xfId="4495" applyNumberFormat="1" applyFont="1" applyBorder="1" applyAlignment="1">
      <alignment horizontal="right"/>
    </xf>
    <xf numFmtId="0" fontId="22"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2" fillId="0" borderId="58" xfId="4495"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4495" applyFont="1" applyAlignment="1">
      <alignment wrapText="1"/>
    </xf>
    <xf numFmtId="0" fontId="31" fillId="0" borderId="0" xfId="4495" applyFont="1" applyAlignment="1">
      <alignment horizontal="center"/>
    </xf>
    <xf numFmtId="0" fontId="31" fillId="0" borderId="0" xfId="4495" applyFont="1" applyAlignment="1">
      <alignment vertical="center" wrapText="1"/>
    </xf>
    <xf numFmtId="180" fontId="23" fillId="0" borderId="0" xfId="4495" applyNumberFormat="1" applyFont="1" applyAlignment="1">
      <alignment horizontal="center"/>
    </xf>
    <xf numFmtId="1" fontId="23" fillId="0" borderId="0" xfId="4495" applyNumberFormat="1" applyFont="1" applyAlignment="1">
      <alignment horizontal="center"/>
    </xf>
    <xf numFmtId="0" fontId="22" fillId="0" borderId="51" xfId="4495" applyFont="1" applyBorder="1" applyAlignment="1">
      <alignment horizontal="center"/>
    </xf>
    <xf numFmtId="0" fontId="22" fillId="0" borderId="51" xfId="4495" applyFont="1" applyBorder="1" applyAlignment="1">
      <alignment vertical="top"/>
    </xf>
    <xf numFmtId="0" fontId="22" fillId="0" borderId="53" xfId="4495" applyFont="1" applyBorder="1"/>
    <xf numFmtId="0" fontId="15" fillId="0" borderId="54" xfId="543" applyBorder="1"/>
    <xf numFmtId="49" fontId="23" fillId="0" borderId="0" xfId="4495" applyNumberFormat="1" applyFont="1" applyAlignment="1">
      <alignment horizontal="left" vertical="center" wrapText="1"/>
    </xf>
    <xf numFmtId="0" fontId="15" fillId="0" borderId="57" xfId="4495" applyFont="1" applyBorder="1"/>
    <xf numFmtId="1" fontId="15" fillId="0" borderId="0" xfId="4495" applyNumberFormat="1" applyFont="1" applyAlignment="1">
      <alignment vertical="center"/>
    </xf>
    <xf numFmtId="0" fontId="33" fillId="0" borderId="50" xfId="4495" applyFont="1" applyBorder="1"/>
    <xf numFmtId="0" fontId="23" fillId="0" borderId="51" xfId="4495" applyFont="1" applyBorder="1" applyAlignment="1">
      <alignment horizontal="center" vertical="top"/>
    </xf>
    <xf numFmtId="0" fontId="23" fillId="0" borderId="51" xfId="4495" applyFont="1" applyBorder="1" applyAlignment="1">
      <alignment vertical="top" wrapText="1"/>
    </xf>
    <xf numFmtId="0" fontId="23" fillId="0" borderId="51" xfId="4495" applyFont="1" applyBorder="1" applyAlignment="1">
      <alignment horizontal="left" vertical="top" wrapText="1"/>
    </xf>
    <xf numFmtId="0" fontId="15" fillId="0" borderId="0" xfId="4495" quotePrefix="1" applyFont="1" applyAlignment="1">
      <alignment horizontal="center" vertical="top"/>
    </xf>
    <xf numFmtId="1" fontId="23" fillId="0" borderId="0" xfId="4495" quotePrefix="1" applyNumberFormat="1" applyFont="1" applyAlignment="1">
      <alignment wrapText="1"/>
    </xf>
    <xf numFmtId="0" fontId="23" fillId="0" borderId="6" xfId="4495" applyFont="1" applyBorder="1" applyAlignment="1">
      <alignment horizontal="right"/>
    </xf>
    <xf numFmtId="0" fontId="121" fillId="0" borderId="0" xfId="4496" applyFont="1" applyAlignment="1">
      <alignment wrapText="1"/>
    </xf>
    <xf numFmtId="0" fontId="15" fillId="0" borderId="0" xfId="4496" applyFont="1" applyAlignment="1">
      <alignment wrapText="1"/>
    </xf>
    <xf numFmtId="0" fontId="31" fillId="0" borderId="51" xfId="4495" applyFont="1" applyBorder="1" applyAlignment="1">
      <alignment vertical="top"/>
    </xf>
    <xf numFmtId="0" fontId="15" fillId="0" borderId="51" xfId="4496" applyFont="1" applyBorder="1" applyAlignment="1">
      <alignment wrapText="1"/>
    </xf>
    <xf numFmtId="0" fontId="22" fillId="0" borderId="51" xfId="4495" applyFont="1" applyBorder="1" applyAlignment="1">
      <alignment horizontal="right"/>
    </xf>
    <xf numFmtId="0" fontId="15" fillId="0" borderId="52" xfId="4495" applyFont="1" applyBorder="1" applyAlignment="1">
      <alignment horizontal="center"/>
    </xf>
    <xf numFmtId="0" fontId="15" fillId="0" borderId="53" xfId="4495" applyFont="1" applyBorder="1" applyAlignment="1">
      <alignment horizontal="left" vertical="top"/>
    </xf>
    <xf numFmtId="0" fontId="15" fillId="0" borderId="54" xfId="4495" applyFont="1" applyBorder="1" applyAlignment="1">
      <alignment horizontal="left" vertical="top"/>
    </xf>
    <xf numFmtId="0" fontId="15" fillId="0" borderId="54" xfId="4495" applyFont="1" applyBorder="1" applyAlignment="1">
      <alignment horizontal="center"/>
    </xf>
    <xf numFmtId="0" fontId="15" fillId="0" borderId="59" xfId="4495" applyFont="1" applyBorder="1" applyAlignment="1">
      <alignment horizontal="center"/>
    </xf>
    <xf numFmtId="9" fontId="15" fillId="0" borderId="0" xfId="4496" applyNumberFormat="1" applyFont="1" applyAlignment="1">
      <alignment horizontal="center"/>
    </xf>
    <xf numFmtId="1" fontId="15" fillId="0" borderId="0" xfId="543" applyNumberFormat="1"/>
    <xf numFmtId="0" fontId="23" fillId="0" borderId="1" xfId="4495" applyFont="1" applyBorder="1"/>
    <xf numFmtId="0" fontId="22" fillId="0" borderId="0" xfId="4495" applyFont="1" applyAlignment="1">
      <alignment horizontal="center" wrapText="1"/>
    </xf>
    <xf numFmtId="0" fontId="22" fillId="0" borderId="9" xfId="4495" applyFont="1" applyBorder="1" applyAlignment="1">
      <alignment horizontal="left"/>
    </xf>
    <xf numFmtId="0" fontId="22" fillId="0" borderId="3" xfId="4495" applyFont="1" applyBorder="1" applyAlignment="1">
      <alignment horizontal="left"/>
    </xf>
    <xf numFmtId="0" fontId="22" fillId="0" borderId="4" xfId="4495" applyFont="1" applyBorder="1" applyAlignment="1">
      <alignment horizontal="left"/>
    </xf>
    <xf numFmtId="0" fontId="15" fillId="0" borderId="2" xfId="4495" applyFont="1" applyBorder="1" applyAlignment="1">
      <alignment horizontal="left"/>
    </xf>
    <xf numFmtId="0" fontId="22" fillId="0" borderId="2" xfId="4495" applyFont="1" applyBorder="1" applyAlignment="1">
      <alignment horizontal="left"/>
    </xf>
    <xf numFmtId="0" fontId="22" fillId="0" borderId="5" xfId="4495" applyFont="1" applyBorder="1" applyAlignment="1">
      <alignment horizontal="left"/>
    </xf>
    <xf numFmtId="180" fontId="63" fillId="0" borderId="0" xfId="4495" applyNumberFormat="1" applyFont="1" applyAlignment="1">
      <alignment horizontal="center" vertical="center"/>
    </xf>
    <xf numFmtId="0" fontId="15" fillId="0" borderId="12" xfId="4495" applyFont="1" applyBorder="1" applyAlignment="1">
      <alignment vertical="top"/>
    </xf>
    <xf numFmtId="0" fontId="45" fillId="0" borderId="0" xfId="4495" applyFont="1" applyAlignment="1">
      <alignment vertical="top" wrapText="1"/>
    </xf>
    <xf numFmtId="0" fontId="15" fillId="0" borderId="51" xfId="4495" applyFont="1" applyBorder="1" applyAlignment="1">
      <alignment horizontal="left" vertical="top" wrapText="1"/>
    </xf>
    <xf numFmtId="0" fontId="15" fillId="0" borderId="51" xfId="4495" applyFont="1" applyBorder="1" applyAlignment="1">
      <alignment horizontal="right"/>
    </xf>
    <xf numFmtId="0" fontId="15" fillId="0" borderId="52" xfId="4495" applyFont="1" applyBorder="1" applyAlignment="1">
      <alignment horizontal="right"/>
    </xf>
    <xf numFmtId="0" fontId="15" fillId="0" borderId="54" xfId="4495" applyFont="1" applyBorder="1" applyAlignment="1">
      <alignment horizontal="right"/>
    </xf>
    <xf numFmtId="0" fontId="15" fillId="0" borderId="58" xfId="4495" applyFont="1" applyBorder="1" applyAlignment="1">
      <alignment horizontal="left" vertical="top" wrapText="1"/>
    </xf>
    <xf numFmtId="0" fontId="15" fillId="0" borderId="58" xfId="4495" applyFont="1" applyBorder="1" applyAlignment="1">
      <alignment horizontal="right"/>
    </xf>
    <xf numFmtId="0" fontId="15" fillId="0" borderId="59" xfId="4495" applyFont="1" applyBorder="1" applyAlignment="1">
      <alignment horizontal="right"/>
    </xf>
    <xf numFmtId="0" fontId="45" fillId="0" borderId="0" xfId="4495" applyFont="1" applyAlignment="1">
      <alignment horizontal="left" vertical="top" wrapText="1"/>
    </xf>
    <xf numFmtId="0" fontId="15" fillId="0" borderId="0" xfId="1192" applyAlignment="1">
      <alignment horizontal="left" vertical="top"/>
    </xf>
    <xf numFmtId="0" fontId="33" fillId="0" borderId="0" xfId="1192" applyFont="1" applyAlignment="1">
      <alignment horizontal="left" vertical="top"/>
    </xf>
    <xf numFmtId="0" fontId="15" fillId="0" borderId="0" xfId="1192" applyAlignment="1">
      <alignment vertical="top"/>
    </xf>
    <xf numFmtId="168" fontId="15" fillId="0" borderId="0" xfId="1192" applyNumberFormat="1"/>
    <xf numFmtId="165" fontId="15" fillId="0" borderId="0" xfId="1192" applyNumberFormat="1"/>
    <xf numFmtId="165" fontId="15" fillId="0" borderId="0" xfId="1192" applyNumberFormat="1" applyAlignment="1">
      <alignment horizontal="right"/>
    </xf>
    <xf numFmtId="2" fontId="15" fillId="0" borderId="0" xfId="1192" applyNumberFormat="1"/>
    <xf numFmtId="6" fontId="15" fillId="0" borderId="0" xfId="1192" applyNumberFormat="1"/>
    <xf numFmtId="0" fontId="22" fillId="0" borderId="0" xfId="1192" applyFont="1"/>
    <xf numFmtId="0" fontId="45" fillId="0" borderId="0" xfId="1192" applyFont="1"/>
    <xf numFmtId="168" fontId="15" fillId="0" borderId="0" xfId="4495" applyNumberFormat="1" applyFont="1"/>
    <xf numFmtId="0" fontId="22"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5" fillId="0" borderId="0" xfId="1192" applyNumberFormat="1" applyAlignment="1">
      <alignment horizontal="center"/>
    </xf>
    <xf numFmtId="9" fontId="15" fillId="0" borderId="0" xfId="1192" applyNumberFormat="1"/>
    <xf numFmtId="0" fontId="15" fillId="0" borderId="0" xfId="1192" applyAlignment="1">
      <alignment horizontal="right"/>
    </xf>
    <xf numFmtId="0" fontId="15" fillId="0" borderId="53" xfId="4495" applyFont="1" applyBorder="1" applyAlignment="1">
      <alignment horizontal="left"/>
    </xf>
    <xf numFmtId="6" fontId="22" fillId="0" borderId="0" xfId="1192" applyNumberFormat="1" applyFont="1" applyAlignment="1">
      <alignment horizontal="right"/>
    </xf>
    <xf numFmtId="165" fontId="15" fillId="0" borderId="0" xfId="4495" applyNumberFormat="1" applyFont="1"/>
    <xf numFmtId="0" fontId="53" fillId="0" borderId="4" xfId="4495" applyFont="1" applyBorder="1"/>
    <xf numFmtId="0" fontId="35" fillId="0" borderId="0" xfId="543" applyFont="1" applyAlignment="1">
      <alignment vertical="center" wrapText="1"/>
    </xf>
    <xf numFmtId="1" fontId="22" fillId="0" borderId="13" xfId="271" applyNumberFormat="1" applyFont="1" applyBorder="1"/>
    <xf numFmtId="1" fontId="24" fillId="0" borderId="13" xfId="271" applyNumberFormat="1" applyBorder="1"/>
    <xf numFmtId="0" fontId="15" fillId="0" borderId="11" xfId="0" applyFont="1" applyBorder="1"/>
    <xf numFmtId="9" fontId="15"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3" fillId="0" borderId="0" xfId="4495" applyNumberFormat="1" applyFont="1"/>
    <xf numFmtId="0" fontId="22" fillId="0" borderId="8" xfId="0" applyFont="1" applyBorder="1" applyAlignment="1">
      <alignment horizontal="center" vertical="center" wrapText="1"/>
    </xf>
    <xf numFmtId="0" fontId="22"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2" fillId="0" borderId="7" xfId="0" applyFont="1" applyBorder="1" applyAlignment="1">
      <alignment horizontal="right"/>
    </xf>
    <xf numFmtId="0" fontId="0" fillId="0" borderId="0" xfId="0" applyAlignment="1" applyProtection="1">
      <alignment horizontal="left" vertical="top" wrapText="1"/>
      <protection locked="0"/>
    </xf>
    <xf numFmtId="2" fontId="15" fillId="0" borderId="0" xfId="0" applyNumberFormat="1" applyFont="1"/>
    <xf numFmtId="0" fontId="15" fillId="0" borderId="9" xfId="0" applyFont="1" applyBorder="1" applyAlignment="1">
      <alignment horizontal="left"/>
    </xf>
    <xf numFmtId="0" fontId="15" fillId="0" borderId="6" xfId="0" applyFont="1" applyBorder="1"/>
    <xf numFmtId="0" fontId="15" fillId="0" borderId="9" xfId="0" applyFont="1" applyBorder="1"/>
    <xf numFmtId="0" fontId="48" fillId="0" borderId="0" xfId="0" applyFont="1" applyAlignment="1">
      <alignment horizontal="center"/>
    </xf>
    <xf numFmtId="0" fontId="21" fillId="0" borderId="0" xfId="0" applyFont="1" applyAlignment="1">
      <alignment horizontal="center" vertical="center" wrapText="1"/>
    </xf>
    <xf numFmtId="0" fontId="30" fillId="0" borderId="0" xfId="0" applyFont="1" applyAlignment="1">
      <alignment horizontal="center"/>
    </xf>
    <xf numFmtId="0" fontId="23" fillId="0" borderId="0" xfId="0" applyFont="1" applyAlignment="1">
      <alignment horizontal="center"/>
    </xf>
    <xf numFmtId="0" fontId="22" fillId="0" borderId="3" xfId="0" applyFont="1" applyBorder="1"/>
    <xf numFmtId="0" fontId="22" fillId="0" borderId="4" xfId="271" applyFont="1" applyBorder="1"/>
    <xf numFmtId="0" fontId="22" fillId="0" borderId="3" xfId="271" applyFont="1" applyBorder="1"/>
    <xf numFmtId="0" fontId="22" fillId="0" borderId="5" xfId="271" applyFont="1" applyBorder="1"/>
    <xf numFmtId="0" fontId="15" fillId="0" borderId="58" xfId="4495" applyFont="1" applyBorder="1" applyAlignment="1">
      <alignment vertical="center" wrapText="1"/>
    </xf>
    <xf numFmtId="0" fontId="15" fillId="0" borderId="59" xfId="4495" applyFont="1" applyBorder="1" applyAlignment="1">
      <alignment vertical="center" wrapText="1"/>
    </xf>
    <xf numFmtId="0" fontId="15" fillId="0" borderId="0" xfId="4495" applyFont="1" applyAlignment="1">
      <alignment horizontal="left" vertical="center" wrapText="1"/>
    </xf>
    <xf numFmtId="0" fontId="22" fillId="0" borderId="5" xfId="0" applyFont="1" applyBorder="1"/>
    <xf numFmtId="168" fontId="20" fillId="43" borderId="0" xfId="0" applyNumberFormat="1" applyFont="1" applyFill="1"/>
    <xf numFmtId="9" fontId="23" fillId="0" borderId="0" xfId="543" applyNumberFormat="1" applyFont="1" applyAlignment="1">
      <alignment horizontal="center"/>
    </xf>
    <xf numFmtId="171" fontId="15" fillId="0" borderId="0" xfId="543" applyNumberFormat="1"/>
    <xf numFmtId="171" fontId="15" fillId="0" borderId="11" xfId="543" applyNumberFormat="1" applyBorder="1"/>
    <xf numFmtId="1" fontId="15"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35" fillId="0" borderId="12" xfId="543" applyFont="1" applyBorder="1" applyAlignment="1">
      <alignment horizontal="center" vertical="top"/>
    </xf>
    <xf numFmtId="0" fontId="36" fillId="0" borderId="7" xfId="543" applyFont="1" applyBorder="1"/>
    <xf numFmtId="0" fontId="15" fillId="0" borderId="12" xfId="543" quotePrefix="1" applyBorder="1"/>
    <xf numFmtId="0" fontId="52" fillId="0" borderId="2" xfId="569" applyFont="1" applyBorder="1" applyAlignment="1">
      <alignment vertical="top"/>
    </xf>
    <xf numFmtId="0" fontId="25" fillId="0" borderId="0" xfId="4495" applyFont="1"/>
    <xf numFmtId="0" fontId="15" fillId="0" borderId="0" xfId="4495" applyFont="1" applyAlignment="1">
      <alignment vertical="top" wrapText="1" shrinkToFit="1"/>
    </xf>
    <xf numFmtId="0" fontId="155" fillId="0" borderId="0" xfId="4495" applyFont="1"/>
    <xf numFmtId="164" fontId="15" fillId="0" borderId="0" xfId="1192" applyNumberFormat="1" applyAlignment="1">
      <alignment horizontal="right"/>
    </xf>
    <xf numFmtId="164" fontId="15" fillId="0" borderId="0" xfId="4495" applyNumberFormat="1" applyFont="1" applyAlignment="1">
      <alignment horizontal="right"/>
    </xf>
    <xf numFmtId="0" fontId="15" fillId="0" borderId="0" xfId="4495" applyFont="1" applyAlignment="1">
      <alignment horizontal="left" vertical="top" wrapText="1" shrinkToFit="1"/>
    </xf>
    <xf numFmtId="0" fontId="15" fillId="0" borderId="6" xfId="4495" applyFont="1" applyBorder="1" applyAlignment="1">
      <alignment vertical="top" wrapText="1"/>
    </xf>
    <xf numFmtId="0" fontId="155" fillId="0" borderId="4" xfId="4495" applyFont="1" applyBorder="1"/>
    <xf numFmtId="0" fontId="15" fillId="0" borderId="4" xfId="4495" applyFont="1" applyBorder="1" applyAlignment="1">
      <alignment horizontal="left" vertical="top" wrapText="1" shrinkToFit="1"/>
    </xf>
    <xf numFmtId="0" fontId="25" fillId="0" borderId="0" xfId="4495" applyFont="1" applyAlignment="1">
      <alignment horizontal="left" vertical="top"/>
    </xf>
    <xf numFmtId="0" fontId="15" fillId="0" borderId="0" xfId="4495" applyFont="1" applyAlignment="1">
      <alignment vertical="center" wrapText="1" shrinkToFit="1"/>
    </xf>
    <xf numFmtId="0" fontId="15" fillId="0" borderId="0" xfId="4495" applyFont="1" applyAlignment="1">
      <alignment horizontal="left" vertical="top" shrinkToFit="1"/>
    </xf>
    <xf numFmtId="0" fontId="15" fillId="0" borderId="0" xfId="4495" applyFont="1" applyAlignment="1">
      <alignment horizontal="left" vertical="center" shrinkToFit="1"/>
    </xf>
    <xf numFmtId="0" fontId="25" fillId="0" borderId="4" xfId="4495" applyFont="1" applyBorder="1"/>
    <xf numFmtId="0" fontId="15" fillId="0" borderId="4" xfId="4495" applyFont="1" applyBorder="1" applyAlignment="1">
      <alignment horizontal="left" vertical="top" shrinkToFit="1"/>
    </xf>
    <xf numFmtId="0" fontId="15" fillId="0" borderId="0" xfId="4495" applyFont="1" applyAlignment="1">
      <alignment vertical="center"/>
    </xf>
    <xf numFmtId="0" fontId="21" fillId="0" borderId="0" xfId="4495" applyFont="1"/>
    <xf numFmtId="0" fontId="25" fillId="0" borderId="0" xfId="4495" applyFont="1" applyAlignment="1">
      <alignment horizontal="center"/>
    </xf>
    <xf numFmtId="0" fontId="15" fillId="0" borderId="4" xfId="4495" applyFont="1" applyBorder="1" applyAlignment="1">
      <alignment horizontal="left" vertical="top" wrapText="1"/>
    </xf>
    <xf numFmtId="44" fontId="15" fillId="0" borderId="0" xfId="707" applyFont="1" applyFill="1" applyBorder="1" applyAlignment="1" applyProtection="1">
      <alignment horizontal="left" vertical="top" wrapText="1"/>
    </xf>
    <xf numFmtId="44" fontId="15" fillId="0" borderId="4" xfId="707" applyFont="1" applyFill="1" applyBorder="1" applyAlignment="1" applyProtection="1">
      <alignment horizontal="left" vertical="top" wrapText="1"/>
    </xf>
    <xf numFmtId="164" fontId="33" fillId="0" borderId="0" xfId="4495" applyNumberFormat="1" applyFont="1" applyAlignment="1">
      <alignment horizontal="left"/>
    </xf>
    <xf numFmtId="0" fontId="25" fillId="0" borderId="0" xfId="4495" applyFont="1" applyAlignment="1">
      <alignment horizontal="left"/>
    </xf>
    <xf numFmtId="0" fontId="15" fillId="0" borderId="4" xfId="4495" applyFont="1" applyBorder="1" applyAlignment="1">
      <alignment vertical="top" wrapText="1"/>
    </xf>
    <xf numFmtId="0" fontId="25" fillId="0" borderId="4" xfId="4495" applyFont="1" applyBorder="1" applyAlignment="1">
      <alignment horizontal="left" vertical="top"/>
    </xf>
    <xf numFmtId="0" fontId="15" fillId="0" borderId="0" xfId="4495" applyFont="1" applyAlignment="1">
      <alignment horizontal="left" vertical="center" wrapText="1" shrinkToFit="1"/>
    </xf>
    <xf numFmtId="0" fontId="15" fillId="0" borderId="6" xfId="4495" applyFont="1" applyBorder="1" applyAlignment="1">
      <alignment horizontal="left" vertical="top" wrapText="1"/>
    </xf>
    <xf numFmtId="2" fontId="117" fillId="0" borderId="0" xfId="0" applyNumberFormat="1" applyFont="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3" fontId="15" fillId="0" borderId="0" xfId="0" applyNumberFormat="1" applyFont="1" applyAlignment="1">
      <alignment horizontal="center"/>
    </xf>
    <xf numFmtId="0" fontId="15" fillId="0" borderId="50" xfId="4495" applyFont="1" applyBorder="1" applyAlignment="1">
      <alignment vertical="center"/>
    </xf>
    <xf numFmtId="0" fontId="15" fillId="0" borderId="51" xfId="4495" applyFont="1" applyBorder="1" applyAlignment="1">
      <alignment vertical="center"/>
    </xf>
    <xf numFmtId="0" fontId="15" fillId="0" borderId="52" xfId="4495" applyFont="1" applyBorder="1" applyAlignment="1">
      <alignment vertical="center"/>
    </xf>
    <xf numFmtId="0" fontId="15" fillId="0" borderId="54" xfId="4495" applyFont="1" applyBorder="1" applyAlignment="1">
      <alignment vertical="center" wrapText="1"/>
    </xf>
    <xf numFmtId="0" fontId="15" fillId="0" borderId="53" xfId="4495" applyFont="1" applyBorder="1" applyAlignment="1">
      <alignment vertical="top" wrapText="1"/>
    </xf>
    <xf numFmtId="0" fontId="15" fillId="0" borderId="58" xfId="0" applyFont="1" applyBorder="1" applyAlignment="1">
      <alignment horizontal="left"/>
    </xf>
    <xf numFmtId="9" fontId="15" fillId="0" borderId="0" xfId="543" applyNumberFormat="1" applyAlignment="1">
      <alignment horizontal="center"/>
    </xf>
    <xf numFmtId="0" fontId="47" fillId="0" borderId="0" xfId="4496" applyFont="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0" fontId="22" fillId="0" borderId="4" xfId="0" applyFont="1" applyBorder="1" applyAlignment="1">
      <alignment horizontal="left"/>
    </xf>
    <xf numFmtId="4" fontId="15" fillId="0" borderId="0" xfId="0" applyNumberFormat="1" applyFont="1" applyAlignment="1">
      <alignment horizontal="left"/>
    </xf>
    <xf numFmtId="43" fontId="50"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49" fontId="15" fillId="0" borderId="0" xfId="0" applyNumberFormat="1" applyFont="1"/>
    <xf numFmtId="49" fontId="15" fillId="0" borderId="0" xfId="0" applyNumberFormat="1" applyFont="1" applyAlignment="1">
      <alignment horizontal="center"/>
    </xf>
    <xf numFmtId="4" fontId="15" fillId="0" borderId="0" xfId="0" applyNumberFormat="1" applyFont="1" applyAlignment="1">
      <alignment vertical="top" wrapText="1"/>
    </xf>
    <xf numFmtId="0" fontId="15" fillId="0" borderId="0" xfId="0" quotePrefix="1" applyFont="1"/>
    <xf numFmtId="0" fontId="45" fillId="0" borderId="0" xfId="0" applyFont="1" applyAlignment="1">
      <alignment horizontal="left"/>
    </xf>
    <xf numFmtId="0" fontId="15" fillId="0" borderId="4" xfId="0" applyFont="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2" applyFont="1" applyAlignment="1">
      <alignment horizontal="left"/>
    </xf>
    <xf numFmtId="0" fontId="50" fillId="0" borderId="0" xfId="0" applyFont="1" applyAlignment="1">
      <alignment horizontal="center" vertical="center"/>
    </xf>
    <xf numFmtId="49" fontId="22" fillId="0" borderId="0" xfId="0" applyNumberFormat="1" applyFont="1" applyAlignment="1">
      <alignment horizontal="center" vertical="center"/>
    </xf>
    <xf numFmtId="49" fontId="15" fillId="0" borderId="0" xfId="0" applyNumberFormat="1" applyFont="1" applyAlignment="1">
      <alignment vertical="center"/>
    </xf>
    <xf numFmtId="4" fontId="15" fillId="0" borderId="0" xfId="0" applyNumberFormat="1" applyFont="1" applyAlignment="1">
      <alignment horizontal="center"/>
    </xf>
    <xf numFmtId="4" fontId="15" fillId="0" borderId="0" xfId="0" applyNumberFormat="1" applyFont="1"/>
    <xf numFmtId="10" fontId="15"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5" fillId="0" borderId="0" xfId="1192" quotePrefix="1" applyNumberFormat="1" applyAlignment="1">
      <alignment horizontal="center"/>
    </xf>
    <xf numFmtId="0" fontId="121" fillId="0" borderId="0" xfId="4495" applyFont="1"/>
    <xf numFmtId="10" fontId="121" fillId="0" borderId="0" xfId="4495" applyNumberFormat="1" applyFont="1"/>
    <xf numFmtId="172" fontId="15" fillId="0" borderId="0" xfId="4495" applyNumberFormat="1" applyFont="1"/>
    <xf numFmtId="0" fontId="38" fillId="0" borderId="0" xfId="0" applyFont="1" applyAlignment="1">
      <alignment horizontal="center"/>
    </xf>
    <xf numFmtId="0" fontId="34" fillId="0" borderId="0" xfId="0" applyFont="1" applyAlignment="1">
      <alignment horizontal="left"/>
    </xf>
    <xf numFmtId="0" fontId="0" fillId="0" borderId="10" xfId="0" applyBorder="1" applyAlignment="1">
      <alignment horizontal="left"/>
    </xf>
    <xf numFmtId="1" fontId="15" fillId="0" borderId="0" xfId="1192" applyNumberFormat="1" applyAlignment="1">
      <alignment horizontal="center"/>
    </xf>
    <xf numFmtId="0" fontId="119" fillId="0" borderId="63" xfId="4495" applyBorder="1"/>
    <xf numFmtId="0" fontId="52" fillId="0" borderId="0" xfId="271" applyFont="1" applyAlignment="1">
      <alignment vertical="top"/>
    </xf>
    <xf numFmtId="0" fontId="22" fillId="0" borderId="11" xfId="0" applyFont="1" applyBorder="1" applyAlignment="1">
      <alignment horizontal="right" vertical="top" wrapText="1"/>
    </xf>
    <xf numFmtId="0" fontId="24" fillId="0" borderId="11" xfId="271" applyBorder="1" applyAlignment="1" applyProtection="1">
      <alignment horizontal="right" vertical="top" wrapText="1"/>
      <protection locked="0"/>
    </xf>
    <xf numFmtId="0" fontId="15" fillId="0" borderId="54" xfId="4495" applyFont="1" applyBorder="1" applyAlignment="1">
      <alignment vertical="top"/>
    </xf>
    <xf numFmtId="9" fontId="24" fillId="0" borderId="0" xfId="0" applyNumberFormat="1" applyFont="1"/>
    <xf numFmtId="0" fontId="15" fillId="0" borderId="16" xfId="569" applyBorder="1" applyAlignment="1">
      <alignment horizontal="center"/>
    </xf>
    <xf numFmtId="164" fontId="15" fillId="0" borderId="57" xfId="4495" applyNumberFormat="1" applyFont="1" applyBorder="1" applyAlignment="1">
      <alignment vertical="top" wrapText="1"/>
    </xf>
    <xf numFmtId="164" fontId="15" fillId="0" borderId="58" xfId="4495" applyNumberFormat="1" applyFont="1" applyBorder="1" applyAlignment="1">
      <alignment vertical="top" wrapText="1"/>
    </xf>
    <xf numFmtId="164" fontId="15" fillId="0" borderId="59" xfId="4495" applyNumberFormat="1" applyFont="1" applyBorder="1" applyAlignment="1">
      <alignment vertical="top" wrapText="1"/>
    </xf>
    <xf numFmtId="0" fontId="22" fillId="0" borderId="0" xfId="1192" applyFont="1" applyAlignment="1">
      <alignment horizontal="left" vertical="top" wrapText="1"/>
    </xf>
    <xf numFmtId="0" fontId="15" fillId="0" borderId="16" xfId="569" applyBorder="1"/>
    <xf numFmtId="0" fontId="15" fillId="0" borderId="4" xfId="569" applyBorder="1"/>
    <xf numFmtId="0" fontId="22" fillId="0" borderId="4" xfId="569" applyFont="1" applyBorder="1"/>
    <xf numFmtId="49" fontId="15" fillId="0" borderId="4" xfId="569" applyNumberFormat="1" applyBorder="1"/>
    <xf numFmtId="0" fontId="161" fillId="0" borderId="0" xfId="0" applyFont="1"/>
    <xf numFmtId="0" fontId="15" fillId="0" borderId="0" xfId="0" applyFont="1" applyAlignment="1">
      <alignment horizontal="right"/>
    </xf>
    <xf numFmtId="1" fontId="15" fillId="0" borderId="0" xfId="0" applyNumberFormat="1" applyFont="1" applyAlignment="1">
      <alignment horizontal="center"/>
    </xf>
    <xf numFmtId="0" fontId="22" fillId="0" borderId="0" xfId="0" applyFont="1" applyAlignment="1">
      <alignment horizontal="left" vertical="center"/>
    </xf>
    <xf numFmtId="0" fontId="15" fillId="0" borderId="0" xfId="0" applyFont="1" applyAlignment="1">
      <alignment horizontal="left" vertical="center"/>
    </xf>
    <xf numFmtId="0" fontId="22" fillId="0" borderId="0" xfId="569" applyFont="1" applyAlignment="1">
      <alignment vertical="top"/>
    </xf>
    <xf numFmtId="0" fontId="16" fillId="0" borderId="0" xfId="244" applyAlignment="1"/>
    <xf numFmtId="0" fontId="22" fillId="0" borderId="0" xfId="0" applyFont="1" applyAlignment="1">
      <alignment vertical="top" wrapText="1"/>
    </xf>
    <xf numFmtId="49" fontId="22" fillId="0" borderId="0" xfId="0" applyNumberFormat="1" applyFont="1"/>
    <xf numFmtId="49" fontId="22" fillId="0" borderId="0" xfId="0" applyNumberFormat="1" applyFont="1" applyAlignment="1">
      <alignment vertical="top"/>
    </xf>
    <xf numFmtId="0" fontId="38" fillId="0" borderId="11" xfId="0" applyFont="1" applyBorder="1"/>
    <xf numFmtId="175" fontId="15"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2"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82" fontId="97" fillId="0" borderId="11" xfId="4496" applyNumberFormat="1" applyFont="1" applyBorder="1" applyAlignment="1">
      <alignment horizontal="left"/>
    </xf>
    <xf numFmtId="1" fontId="97" fillId="0" borderId="0" xfId="4496" applyNumberFormat="1" applyFont="1"/>
    <xf numFmtId="2" fontId="97" fillId="0" borderId="0" xfId="4496" applyNumberFormat="1" applyFont="1" applyAlignment="1">
      <alignment horizontal="center"/>
    </xf>
    <xf numFmtId="2"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2"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0" fillId="0" borderId="11" xfId="271" applyNumberFormat="1" applyFont="1" applyBorder="1" applyAlignment="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0" fontId="97" fillId="0" borderId="0" xfId="4496" applyFont="1" applyAlignment="1">
      <alignment horizontal="right"/>
    </xf>
    <xf numFmtId="168" fontId="24"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71" xfId="4496" applyFont="1" applyBorder="1" applyAlignment="1">
      <alignment horizontal="center" vertical="top" wrapText="1"/>
    </xf>
    <xf numFmtId="0" fontId="136" fillId="0" borderId="71" xfId="4496" applyFont="1" applyBorder="1" applyAlignment="1">
      <alignment horizontal="center"/>
    </xf>
    <xf numFmtId="0" fontId="166"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86"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97" fillId="0" borderId="15" xfId="4496" applyNumberFormat="1" applyFont="1" applyBorder="1"/>
    <xf numFmtId="182" fontId="136" fillId="0" borderId="71" xfId="8722" applyNumberFormat="1" applyFont="1" applyBorder="1" applyProtection="1"/>
    <xf numFmtId="9" fontId="97" fillId="0" borderId="15" xfId="4494" applyFont="1" applyFill="1" applyBorder="1" applyAlignment="1" applyProtection="1">
      <alignment horizontal="right"/>
    </xf>
    <xf numFmtId="182" fontId="136" fillId="0" borderId="71" xfId="4496" applyNumberFormat="1" applyFont="1" applyBorder="1"/>
    <xf numFmtId="0" fontId="166" fillId="0" borderId="0" xfId="4496" applyFont="1" applyAlignment="1">
      <alignment horizontal="right"/>
    </xf>
    <xf numFmtId="0" fontId="97" fillId="0" borderId="0" xfId="4496" applyFont="1" applyAlignment="1">
      <alignment horizontal="right" vertical="top" wrapText="1" indent="1"/>
    </xf>
    <xf numFmtId="182" fontId="97" fillId="0" borderId="6" xfId="8722"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2"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2"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70" xfId="4496" applyFont="1" applyBorder="1" applyAlignment="1">
      <alignment horizontal="right" indent="1"/>
    </xf>
    <xf numFmtId="0" fontId="97" fillId="0" borderId="80" xfId="4496" applyFont="1" applyBorder="1" applyAlignment="1">
      <alignment horizontal="right" indent="1"/>
    </xf>
    <xf numFmtId="0" fontId="97" fillId="0" borderId="80" xfId="4496" quotePrefix="1" applyFont="1" applyBorder="1" applyAlignment="1">
      <alignment horizontal="right" indent="1"/>
    </xf>
    <xf numFmtId="0" fontId="97" fillId="0" borderId="72" xfId="4496" applyFont="1" applyBorder="1" applyAlignment="1">
      <alignment horizontal="right" indent="1"/>
    </xf>
    <xf numFmtId="182" fontId="97" fillId="0" borderId="74" xfId="4496" applyNumberFormat="1" applyFont="1" applyBorder="1"/>
    <xf numFmtId="182" fontId="97" fillId="0" borderId="91" xfId="4496" applyNumberFormat="1" applyFont="1" applyBorder="1"/>
    <xf numFmtId="182" fontId="97" fillId="0" borderId="93" xfId="4496" applyNumberFormat="1" applyFont="1" applyBorder="1"/>
    <xf numFmtId="175" fontId="22" fillId="0" borderId="0" xfId="543" applyNumberFormat="1" applyFont="1" applyAlignment="1">
      <alignment vertical="center"/>
    </xf>
    <xf numFmtId="10" fontId="136" fillId="0" borderId="0" xfId="4494" applyNumberFormat="1" applyFont="1" applyProtection="1"/>
    <xf numFmtId="0" fontId="22"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71"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3" xfId="4496" applyNumberFormat="1" applyFont="1" applyBorder="1"/>
    <xf numFmtId="0" fontId="136" fillId="0" borderId="4" xfId="4496" applyFont="1" applyBorder="1" applyAlignment="1">
      <alignment horizontal="left" indent="1"/>
    </xf>
    <xf numFmtId="0" fontId="97" fillId="0" borderId="4" xfId="4496" applyFont="1" applyBorder="1"/>
    <xf numFmtId="0" fontId="33" fillId="0" borderId="0" xfId="4495" applyFont="1" applyAlignment="1">
      <alignment vertical="center"/>
    </xf>
    <xf numFmtId="0" fontId="121" fillId="0" borderId="0" xfId="4496" applyFont="1" applyAlignment="1">
      <alignment vertical="center" wrapText="1"/>
    </xf>
    <xf numFmtId="0" fontId="20" fillId="43" borderId="0" xfId="1192" applyFont="1" applyFill="1"/>
    <xf numFmtId="3" fontId="67" fillId="43" borderId="6" xfId="1192" applyNumberFormat="1" applyFont="1" applyFill="1" applyBorder="1"/>
    <xf numFmtId="0" fontId="168" fillId="0" borderId="0" xfId="0" applyFont="1"/>
    <xf numFmtId="0" fontId="20" fillId="0" borderId="11" xfId="253" applyFont="1" applyBorder="1" applyAlignment="1" applyProtection="1">
      <alignment horizontal="center" wrapText="1"/>
      <protection locked="0"/>
    </xf>
    <xf numFmtId="0" fontId="169" fillId="0" borderId="0" xfId="0" applyFont="1"/>
    <xf numFmtId="0" fontId="170"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5" fillId="43" borderId="3" xfId="569" applyFill="1" applyBorder="1"/>
    <xf numFmtId="0" fontId="175" fillId="0" borderId="0" xfId="0" applyFont="1" applyAlignment="1">
      <alignment horizontal="right"/>
    </xf>
    <xf numFmtId="1" fontId="23"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 fillId="0" borderId="0" xfId="8726"/>
    <xf numFmtId="0" fontId="102" fillId="0" borderId="0" xfId="8726" applyFont="1"/>
    <xf numFmtId="0" fontId="154" fillId="0" borderId="0" xfId="8726" applyFont="1"/>
    <xf numFmtId="0" fontId="3" fillId="48" borderId="44" xfId="8726" applyFill="1" applyBorder="1"/>
    <xf numFmtId="0" fontId="3" fillId="48" borderId="42" xfId="8726" applyFill="1" applyBorder="1"/>
    <xf numFmtId="0" fontId="3" fillId="48" borderId="41" xfId="8726" applyFill="1" applyBorder="1"/>
    <xf numFmtId="0" fontId="3" fillId="44" borderId="44" xfId="8726" applyFill="1" applyBorder="1"/>
    <xf numFmtId="0" fontId="3" fillId="44" borderId="42" xfId="8726" applyFill="1" applyBorder="1"/>
    <xf numFmtId="0" fontId="3" fillId="44" borderId="86" xfId="8726" applyFill="1" applyBorder="1"/>
    <xf numFmtId="0" fontId="3" fillId="48" borderId="0" xfId="8726" applyFill="1"/>
    <xf numFmtId="0" fontId="3" fillId="44" borderId="41" xfId="8726" applyFill="1" applyBorder="1"/>
    <xf numFmtId="0" fontId="3" fillId="44" borderId="0" xfId="8726" applyFill="1"/>
    <xf numFmtId="0" fontId="3" fillId="44" borderId="66" xfId="8726" applyFill="1" applyBorder="1"/>
    <xf numFmtId="0" fontId="3" fillId="44" borderId="0" xfId="8726" applyFill="1" applyAlignment="1">
      <alignment horizontal="left"/>
    </xf>
    <xf numFmtId="0" fontId="3" fillId="48" borderId="86" xfId="8726" applyFill="1" applyBorder="1"/>
    <xf numFmtId="0" fontId="3" fillId="48" borderId="66" xfId="8726" applyFill="1" applyBorder="1"/>
    <xf numFmtId="49" fontId="101" fillId="48" borderId="66" xfId="8726" applyNumberFormat="1" applyFont="1" applyFill="1" applyBorder="1" applyAlignment="1">
      <alignment horizontal="right" vertical="top"/>
    </xf>
    <xf numFmtId="0" fontId="101" fillId="48" borderId="0" xfId="8726" applyFont="1" applyFill="1"/>
    <xf numFmtId="0" fontId="101" fillId="48" borderId="66" xfId="8726" applyFont="1" applyFill="1" applyBorder="1"/>
    <xf numFmtId="0" fontId="101" fillId="48" borderId="41" xfId="8726" applyFont="1" applyFill="1" applyBorder="1" applyAlignment="1">
      <alignment horizontal="center"/>
    </xf>
    <xf numFmtId="0" fontId="102" fillId="48" borderId="0" xfId="8726" applyFont="1" applyFill="1"/>
    <xf numFmtId="0" fontId="3" fillId="48" borderId="69" xfId="8726" applyFill="1" applyBorder="1"/>
    <xf numFmtId="168" fontId="158" fillId="48" borderId="68" xfId="700" applyNumberFormat="1" applyFont="1" applyFill="1" applyBorder="1" applyAlignment="1" applyProtection="1">
      <protection locked="0"/>
    </xf>
    <xf numFmtId="0" fontId="163" fillId="48" borderId="0" xfId="8726" applyFont="1" applyFill="1"/>
    <xf numFmtId="0" fontId="148" fillId="47" borderId="91" xfId="8726" applyFont="1" applyFill="1" applyBorder="1" applyAlignment="1">
      <alignment horizontal="center"/>
    </xf>
    <xf numFmtId="0" fontId="148" fillId="47" borderId="11" xfId="8726" applyFont="1" applyFill="1" applyBorder="1" applyAlignment="1">
      <alignment horizontal="center"/>
    </xf>
    <xf numFmtId="0" fontId="162" fillId="47" borderId="91" xfId="8726" applyFont="1" applyFill="1" applyBorder="1"/>
    <xf numFmtId="0" fontId="162" fillId="47" borderId="11" xfId="8726" applyFont="1" applyFill="1" applyBorder="1"/>
    <xf numFmtId="0" fontId="3" fillId="45" borderId="69" xfId="8726" applyFill="1" applyBorder="1"/>
    <xf numFmtId="0" fontId="3" fillId="45" borderId="68" xfId="8726" applyFill="1" applyBorder="1"/>
    <xf numFmtId="0" fontId="101" fillId="45" borderId="68" xfId="8726" applyFont="1" applyFill="1" applyBorder="1"/>
    <xf numFmtId="0" fontId="101" fillId="45" borderId="67" xfId="8726" applyFont="1" applyFill="1" applyBorder="1"/>
    <xf numFmtId="0" fontId="101" fillId="45" borderId="69" xfId="8726" applyFont="1" applyFill="1" applyBorder="1"/>
    <xf numFmtId="0" fontId="3" fillId="48" borderId="0" xfId="8726" applyFill="1" applyAlignment="1">
      <alignment horizontal="left"/>
    </xf>
    <xf numFmtId="0" fontId="152" fillId="48" borderId="0" xfId="8726" applyFont="1" applyFill="1"/>
    <xf numFmtId="0" fontId="101" fillId="45" borderId="89" xfId="8726" applyFont="1" applyFill="1" applyBorder="1"/>
    <xf numFmtId="0" fontId="101" fillId="45" borderId="76" xfId="8726" applyFont="1" applyFill="1" applyBorder="1"/>
    <xf numFmtId="0" fontId="101" fillId="45" borderId="75" xfId="8726" applyFont="1" applyFill="1" applyBorder="1"/>
    <xf numFmtId="0" fontId="101" fillId="45" borderId="31" xfId="8726" applyFont="1" applyFill="1" applyBorder="1"/>
    <xf numFmtId="0" fontId="101" fillId="45" borderId="29" xfId="8726" applyFont="1" applyFill="1" applyBorder="1"/>
    <xf numFmtId="0" fontId="101" fillId="45" borderId="65" xfId="8726" applyFont="1" applyFill="1" applyBorder="1"/>
    <xf numFmtId="0" fontId="3" fillId="45" borderId="83" xfId="8726" applyFill="1" applyBorder="1"/>
    <xf numFmtId="0" fontId="3" fillId="45" borderId="82" xfId="8726" applyFill="1" applyBorder="1"/>
    <xf numFmtId="0" fontId="3" fillId="45" borderId="81" xfId="8726" applyFill="1" applyBorder="1"/>
    <xf numFmtId="0" fontId="101" fillId="45" borderId="81" xfId="8726" applyFont="1" applyFill="1" applyBorder="1"/>
    <xf numFmtId="0" fontId="3" fillId="45" borderId="31" xfId="8726" applyFill="1" applyBorder="1"/>
    <xf numFmtId="0" fontId="3" fillId="45" borderId="29" xfId="8726" applyFill="1" applyBorder="1"/>
    <xf numFmtId="0" fontId="3" fillId="45" borderId="67" xfId="8726" applyFill="1" applyBorder="1"/>
    <xf numFmtId="0" fontId="85" fillId="0" borderId="0" xfId="8726" applyFont="1"/>
    <xf numFmtId="0" fontId="3" fillId="45" borderId="99" xfId="8726" applyFill="1" applyBorder="1"/>
    <xf numFmtId="0" fontId="3" fillId="45" borderId="65" xfId="8726" applyFill="1" applyBorder="1"/>
    <xf numFmtId="0" fontId="101" fillId="45" borderId="28" xfId="8726" applyFont="1" applyFill="1" applyBorder="1"/>
    <xf numFmtId="0" fontId="3" fillId="52" borderId="101" xfId="8726" applyFill="1" applyBorder="1"/>
    <xf numFmtId="0" fontId="3" fillId="51" borderId="101" xfId="8726" applyFill="1" applyBorder="1"/>
    <xf numFmtId="0" fontId="101" fillId="50" borderId="100" xfId="8726" applyFont="1" applyFill="1" applyBorder="1"/>
    <xf numFmtId="0" fontId="101" fillId="0" borderId="0" xfId="8726" applyFont="1"/>
    <xf numFmtId="0" fontId="101" fillId="48" borderId="41" xfId="8726" applyFont="1" applyFill="1" applyBorder="1"/>
    <xf numFmtId="0" fontId="150" fillId="48" borderId="0" xfId="8726" applyFont="1" applyFill="1"/>
    <xf numFmtId="182" fontId="164" fillId="48" borderId="0" xfId="8727" applyNumberFormat="1" applyFont="1" applyFill="1" applyBorder="1" applyAlignment="1"/>
    <xf numFmtId="0" fontId="22" fillId="0" borderId="4" xfId="569" applyFont="1" applyBorder="1" applyAlignment="1">
      <alignment horizontal="center"/>
    </xf>
    <xf numFmtId="43" fontId="22" fillId="0" borderId="0" xfId="4504" applyFont="1" applyAlignment="1" applyProtection="1">
      <alignment horizontal="center"/>
    </xf>
    <xf numFmtId="0" fontId="22" fillId="0" borderId="0" xfId="569" applyFont="1" applyAlignment="1">
      <alignment horizontal="center" vertical="center"/>
    </xf>
    <xf numFmtId="0" fontId="22" fillId="0" borderId="16" xfId="569" applyFont="1" applyBorder="1" applyAlignment="1">
      <alignment horizontal="center"/>
    </xf>
    <xf numFmtId="49" fontId="22" fillId="0" borderId="4" xfId="569" applyNumberFormat="1" applyFont="1" applyBorder="1" applyAlignment="1">
      <alignment horizontal="center"/>
    </xf>
    <xf numFmtId="4" fontId="22" fillId="0" borderId="0" xfId="569" applyNumberFormat="1" applyFont="1" applyAlignment="1">
      <alignment horizontal="center"/>
    </xf>
    <xf numFmtId="0" fontId="15" fillId="0" borderId="0" xfId="569" applyAlignment="1">
      <alignment horizontal="center" wrapText="1"/>
    </xf>
    <xf numFmtId="0" fontId="21" fillId="3" borderId="0" xfId="0" applyFont="1" applyFill="1" applyAlignment="1">
      <alignment horizontal="center" vertical="center" wrapText="1"/>
    </xf>
    <xf numFmtId="0" fontId="21" fillId="3" borderId="16" xfId="0" applyFont="1" applyFill="1" applyBorder="1" applyAlignment="1">
      <alignment horizontal="center" vertical="center" wrapText="1"/>
    </xf>
    <xf numFmtId="0" fontId="15" fillId="0" borderId="0" xfId="0" applyFont="1" applyAlignment="1">
      <alignment horizontal="left" vertical="top" wrapText="1"/>
    </xf>
    <xf numFmtId="0" fontId="104" fillId="0" borderId="0" xfId="0" applyFont="1" applyAlignment="1">
      <alignment horizontal="left" vertical="top" wrapText="1"/>
    </xf>
    <xf numFmtId="0" fontId="44" fillId="0" borderId="0" xfId="0" applyFont="1" applyAlignment="1">
      <alignment horizontal="left" vertical="top" wrapText="1"/>
    </xf>
    <xf numFmtId="0" fontId="112" fillId="0" borderId="0" xfId="0" applyFont="1" applyAlignment="1">
      <alignment horizontal="left" wrapText="1"/>
    </xf>
    <xf numFmtId="0" fontId="15" fillId="0" borderId="0" xfId="0" applyFont="1" applyAlignment="1">
      <alignment horizontal="left" wrapText="1"/>
    </xf>
    <xf numFmtId="0" fontId="24" fillId="0" borderId="0" xfId="0" applyFont="1" applyAlignment="1">
      <alignment horizontal="left" wrapText="1"/>
    </xf>
    <xf numFmtId="0" fontId="16" fillId="0" borderId="0" xfId="244" applyAlignment="1" applyProtection="1">
      <alignment horizontal="left"/>
    </xf>
    <xf numFmtId="0" fontId="16" fillId="0" borderId="0" xfId="244"/>
    <xf numFmtId="0" fontId="0" fillId="0" borderId="0" xfId="0"/>
    <xf numFmtId="0" fontId="15" fillId="0" borderId="0" xfId="1192" applyAlignment="1">
      <alignment horizontal="left" vertical="top" wrapText="1"/>
    </xf>
    <xf numFmtId="0" fontId="22" fillId="0" borderId="0" xfId="0" applyFont="1" applyAlignment="1">
      <alignment horizontal="left" vertical="top" wrapText="1"/>
    </xf>
    <xf numFmtId="0" fontId="15" fillId="0" borderId="0" xfId="0" applyFont="1" applyAlignment="1">
      <alignment horizontal="left"/>
    </xf>
    <xf numFmtId="0" fontId="33" fillId="0" borderId="0" xfId="1192" applyFont="1" applyAlignment="1">
      <alignment horizontal="left"/>
    </xf>
    <xf numFmtId="0" fontId="15" fillId="0" borderId="0" xfId="1192" applyAlignment="1">
      <alignment horizontal="left"/>
    </xf>
    <xf numFmtId="4" fontId="15" fillId="0" borderId="0" xfId="1192" applyNumberFormat="1" applyAlignment="1">
      <alignment horizontal="left" vertical="top" wrapText="1"/>
    </xf>
    <xf numFmtId="0" fontId="22" fillId="0" borderId="4" xfId="569" applyFont="1" applyBorder="1" applyAlignment="1">
      <alignment horizontal="left"/>
    </xf>
    <xf numFmtId="0" fontId="33" fillId="0" borderId="0" xfId="0" applyFont="1" applyAlignment="1">
      <alignment horizontal="left"/>
    </xf>
    <xf numFmtId="0" fontId="22" fillId="0" borderId="0" xfId="271" applyFont="1" applyAlignment="1">
      <alignment horizontal="left" vertical="top" wrapText="1"/>
    </xf>
    <xf numFmtId="0" fontId="0" fillId="0" borderId="0" xfId="0" applyAlignment="1">
      <alignment horizontal="left" vertical="top" wrapText="1"/>
    </xf>
    <xf numFmtId="0" fontId="24" fillId="0" borderId="0" xfId="0" applyFont="1" applyAlignment="1">
      <alignment horizontal="left"/>
    </xf>
    <xf numFmtId="0" fontId="15" fillId="0" borderId="0" xfId="271" applyFont="1" applyAlignment="1" applyProtection="1">
      <alignment horizontal="left" vertical="top" wrapText="1"/>
      <protection locked="0"/>
    </xf>
    <xf numFmtId="0" fontId="16" fillId="0" borderId="0" xfId="244" applyAlignment="1">
      <alignment horizontal="left"/>
    </xf>
    <xf numFmtId="0" fontId="22" fillId="0" borderId="0" xfId="0" applyFont="1" applyAlignment="1">
      <alignment horizontal="left"/>
    </xf>
    <xf numFmtId="0" fontId="22" fillId="0" borderId="16" xfId="0" applyFont="1" applyBorder="1" applyAlignment="1">
      <alignment horizontal="left"/>
    </xf>
    <xf numFmtId="0" fontId="15" fillId="0" borderId="27" xfId="0" applyFont="1" applyBorder="1" applyAlignment="1">
      <alignment horizontal="left"/>
    </xf>
    <xf numFmtId="4" fontId="15" fillId="0" borderId="0" xfId="569" applyNumberFormat="1" applyAlignment="1">
      <alignment horizontal="left" vertical="top" wrapText="1"/>
    </xf>
    <xf numFmtId="0" fontId="33" fillId="0" borderId="0" xfId="569" applyFont="1" applyAlignment="1">
      <alignment horizontal="left"/>
    </xf>
    <xf numFmtId="0" fontId="15" fillId="0" borderId="0" xfId="569" applyAlignment="1">
      <alignment horizontal="left" vertical="top" wrapText="1"/>
    </xf>
    <xf numFmtId="0" fontId="15" fillId="0" borderId="0" xfId="569" applyAlignment="1">
      <alignment horizontal="left"/>
    </xf>
    <xf numFmtId="0" fontId="33" fillId="0" borderId="0" xfId="569" applyFont="1" applyAlignment="1">
      <alignment horizontal="left" vertical="top" wrapText="1"/>
    </xf>
    <xf numFmtId="0" fontId="15" fillId="0" borderId="0" xfId="569" applyAlignment="1">
      <alignment horizontal="left" vertical="top"/>
    </xf>
    <xf numFmtId="0" fontId="15" fillId="0" borderId="0" xfId="271" applyFont="1" applyAlignment="1">
      <alignment horizontal="left" vertical="top" wrapText="1"/>
    </xf>
    <xf numFmtId="0" fontId="24" fillId="0" borderId="0" xfId="0" applyFont="1" applyAlignment="1">
      <alignment horizontal="left" vertical="top"/>
    </xf>
    <xf numFmtId="0" fontId="33" fillId="0" borderId="0" xfId="0" applyFon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49" fontId="15" fillId="0" borderId="0" xfId="0" applyNumberFormat="1" applyFont="1" applyAlignment="1">
      <alignment horizontal="left" vertical="top" wrapText="1"/>
    </xf>
    <xf numFmtId="49" fontId="15" fillId="0" borderId="0" xfId="1192" applyNumberFormat="1" applyAlignment="1">
      <alignment horizontal="left" vertical="top"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4" fontId="16" fillId="0" borderId="0" xfId="244" applyNumberFormat="1" applyFill="1" applyAlignment="1" applyProtection="1">
      <alignment horizontal="left"/>
    </xf>
    <xf numFmtId="0" fontId="22" fillId="0" borderId="0" xfId="569" applyFont="1" applyAlignment="1">
      <alignment horizontal="left" vertical="top"/>
    </xf>
    <xf numFmtId="0" fontId="15" fillId="0" borderId="0" xfId="0" applyFont="1" applyAlignment="1">
      <alignment horizontal="left" vertical="top"/>
    </xf>
    <xf numFmtId="0" fontId="16" fillId="0" borderId="0" xfId="244" quotePrefix="1" applyAlignment="1" applyProtection="1">
      <alignment horizontal="left"/>
    </xf>
    <xf numFmtId="0" fontId="22" fillId="0" borderId="4" xfId="0" applyFont="1" applyBorder="1" applyAlignment="1">
      <alignment horizontal="left"/>
    </xf>
    <xf numFmtId="0" fontId="22" fillId="0" borderId="4" xfId="569" applyFont="1" applyBorder="1" applyAlignment="1">
      <alignment horizontal="left" vertical="top"/>
    </xf>
    <xf numFmtId="0" fontId="33" fillId="0" borderId="0" xfId="569" applyFont="1" applyAlignment="1">
      <alignment horizontal="left" vertical="top"/>
    </xf>
    <xf numFmtId="0" fontId="33" fillId="0" borderId="0" xfId="0" applyFont="1" applyAlignment="1">
      <alignment horizontal="left" wrapText="1"/>
    </xf>
    <xf numFmtId="4" fontId="15" fillId="0" borderId="0" xfId="569" applyNumberFormat="1" applyAlignment="1">
      <alignment horizontal="left"/>
    </xf>
    <xf numFmtId="4" fontId="33" fillId="0" borderId="0" xfId="569" applyNumberFormat="1" applyFont="1" applyAlignment="1">
      <alignment horizontal="left" vertical="top" wrapText="1"/>
    </xf>
    <xf numFmtId="0" fontId="113" fillId="0" borderId="0" xfId="569" applyFont="1" applyAlignment="1">
      <alignment horizontal="center"/>
    </xf>
    <xf numFmtId="0" fontId="114" fillId="0" borderId="0" xfId="569" applyFont="1"/>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xf numFmtId="0" fontId="15" fillId="0" borderId="0" xfId="1192" applyAlignment="1">
      <alignment vertical="top" wrapText="1"/>
    </xf>
    <xf numFmtId="4" fontId="15" fillId="0" borderId="0" xfId="0" applyNumberFormat="1" applyFont="1" applyAlignment="1">
      <alignment horizontal="left"/>
    </xf>
    <xf numFmtId="0" fontId="33" fillId="0" borderId="0" xfId="0" applyFont="1" applyAlignment="1">
      <alignment horizontal="left" vertical="top"/>
    </xf>
    <xf numFmtId="0" fontId="15" fillId="0" borderId="0" xfId="0" applyFont="1" applyAlignment="1">
      <alignment horizontal="left" vertical="center" wrapText="1"/>
    </xf>
    <xf numFmtId="0" fontId="15" fillId="0" borderId="0" xfId="569" applyAlignment="1">
      <alignment horizontal="left" wrapText="1"/>
    </xf>
    <xf numFmtId="0" fontId="15" fillId="0" borderId="0" xfId="0" applyFont="1" applyAlignment="1">
      <alignment vertical="top" wrapText="1"/>
    </xf>
    <xf numFmtId="0" fontId="16" fillId="0" borderId="0" xfId="244" applyFill="1" applyBorder="1" applyAlignment="1">
      <alignment horizontal="left" vertical="top" wrapText="1"/>
    </xf>
    <xf numFmtId="0" fontId="22" fillId="0" borderId="0" xfId="0" applyFont="1" applyAlignment="1">
      <alignment vertical="top" wrapText="1"/>
    </xf>
    <xf numFmtId="0" fontId="33" fillId="0" borderId="0" xfId="1192" applyFont="1" applyAlignment="1">
      <alignment horizontal="left" vertical="top" wrapText="1"/>
    </xf>
    <xf numFmtId="0" fontId="22" fillId="0" borderId="0" xfId="1192" applyFont="1" applyAlignment="1">
      <alignment horizontal="left" vertical="top" wrapText="1"/>
    </xf>
    <xf numFmtId="0" fontId="15" fillId="0" borderId="0" xfId="569" applyAlignment="1">
      <alignment vertical="top" wrapText="1"/>
    </xf>
    <xf numFmtId="4" fontId="33" fillId="0" borderId="0" xfId="0" applyNumberFormat="1" applyFont="1" applyAlignment="1">
      <alignment horizontal="left" vertical="top"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22" fillId="0" borderId="0" xfId="569" applyFont="1" applyAlignment="1">
      <alignment horizontal="center"/>
    </xf>
    <xf numFmtId="0" fontId="16" fillId="0" borderId="0" xfId="244" applyNumberFormat="1" applyFill="1" applyAlignment="1" applyProtection="1">
      <alignment horizontal="left"/>
    </xf>
    <xf numFmtId="0" fontId="33" fillId="0" borderId="0" xfId="569" applyFont="1" applyAlignment="1">
      <alignment horizontal="left" wrapText="1"/>
    </xf>
    <xf numFmtId="0" fontId="33" fillId="0" borderId="0" xfId="569" applyFont="1" applyAlignment="1">
      <alignment horizontal="center" wrapText="1"/>
    </xf>
    <xf numFmtId="0" fontId="22" fillId="0" borderId="0" xfId="0" applyFont="1" applyAlignment="1">
      <alignment horizontal="left" vertical="top"/>
    </xf>
    <xf numFmtId="0" fontId="15" fillId="0" borderId="0" xfId="569" applyAlignment="1">
      <alignment horizontal="left" vertical="center" wrapText="1"/>
    </xf>
    <xf numFmtId="0" fontId="22" fillId="0" borderId="16" xfId="569" applyFont="1" applyBorder="1" applyAlignment="1">
      <alignment horizontal="left"/>
    </xf>
    <xf numFmtId="0" fontId="22" fillId="0" borderId="0" xfId="569" applyFont="1" applyAlignment="1">
      <alignment horizontal="left"/>
    </xf>
    <xf numFmtId="0" fontId="22" fillId="0" borderId="4" xfId="0" applyFont="1" applyBorder="1" applyAlignment="1">
      <alignment horizontal="left" vertical="top"/>
    </xf>
    <xf numFmtId="0" fontId="16" fillId="0" borderId="0" xfId="244" applyAlignment="1" applyProtection="1">
      <alignment horizontal="left" vertical="top" wrapText="1"/>
    </xf>
    <xf numFmtId="0" fontId="15" fillId="0" borderId="0" xfId="1192" applyAlignment="1" applyProtection="1">
      <alignment horizontal="left" vertical="top" wrapText="1"/>
      <protection locked="0"/>
    </xf>
    <xf numFmtId="0" fontId="15" fillId="0" borderId="27" xfId="569" applyBorder="1" applyAlignment="1">
      <alignment horizontal="left"/>
    </xf>
    <xf numFmtId="0" fontId="33" fillId="0" borderId="0" xfId="569" applyFont="1" applyAlignment="1">
      <alignment horizontal="center"/>
    </xf>
    <xf numFmtId="0" fontId="15" fillId="0" borderId="15" xfId="569" applyBorder="1" applyAlignment="1">
      <alignment horizontal="center" vertical="top" wrapText="1"/>
    </xf>
    <xf numFmtId="0" fontId="15" fillId="0" borderId="14" xfId="569" applyBorder="1" applyAlignment="1">
      <alignment horizontal="center" vertical="top" wrapText="1"/>
    </xf>
    <xf numFmtId="0" fontId="15" fillId="0" borderId="13" xfId="569" applyBorder="1" applyAlignment="1">
      <alignment horizontal="center" vertical="top" wrapText="1"/>
    </xf>
    <xf numFmtId="0" fontId="15" fillId="5" borderId="4" xfId="569" applyFill="1" applyBorder="1" applyAlignment="1" applyProtection="1">
      <alignment horizontal="left"/>
      <protection locked="0"/>
    </xf>
    <xf numFmtId="0" fontId="15" fillId="5" borderId="6" xfId="569"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4"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0" fontId="24"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7" xfId="0" applyFont="1" applyBorder="1" applyAlignment="1">
      <alignment horizontal="center" vertical="top" wrapText="1"/>
    </xf>
    <xf numFmtId="0" fontId="24" fillId="0" borderId="8" xfId="0" applyFont="1" applyBorder="1" applyAlignment="1">
      <alignment horizontal="center" vertical="top" wrapText="1"/>
    </xf>
    <xf numFmtId="0" fontId="24" fillId="0" borderId="0" xfId="0" applyFont="1" applyAlignment="1">
      <alignment horizontal="center" vertical="top" wrapText="1"/>
    </xf>
    <xf numFmtId="0" fontId="24" fillId="0" borderId="12" xfId="0" applyFont="1" applyBorder="1" applyAlignment="1">
      <alignment horizontal="center" vertical="top" wrapText="1"/>
    </xf>
    <xf numFmtId="0" fontId="24" fillId="0" borderId="9" xfId="0" applyFont="1" applyBorder="1" applyAlignment="1">
      <alignment horizontal="center" vertical="top" wrapText="1"/>
    </xf>
    <xf numFmtId="0" fontId="24" fillId="0" borderId="6" xfId="0" applyFont="1" applyBorder="1" applyAlignment="1">
      <alignment horizontal="center" vertical="top" wrapText="1"/>
    </xf>
    <xf numFmtId="0" fontId="24"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0" borderId="11" xfId="0" applyFont="1" applyBorder="1" applyAlignment="1">
      <alignment horizontal="center" vertical="top" wrapText="1"/>
    </xf>
    <xf numFmtId="0" fontId="22"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4" fillId="0" borderId="3" xfId="0" applyNumberFormat="1" applyFont="1" applyBorder="1" applyAlignment="1">
      <alignment horizontal="center"/>
    </xf>
    <xf numFmtId="168" fontId="24" fillId="0" borderId="4" xfId="0" applyNumberFormat="1" applyFont="1" applyBorder="1" applyAlignment="1">
      <alignment horizontal="center"/>
    </xf>
    <xf numFmtId="168" fontId="24" fillId="0" borderId="5" xfId="0" applyNumberFormat="1" applyFont="1" applyBorder="1" applyAlignment="1">
      <alignment horizontal="center"/>
    </xf>
    <xf numFmtId="0" fontId="22" fillId="0" borderId="0" xfId="0" applyFont="1" applyAlignment="1">
      <alignment horizontal="center" vertic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4" fillId="0" borderId="1" xfId="0" applyNumberFormat="1" applyFont="1" applyBorder="1" applyAlignment="1">
      <alignment horizontal="right"/>
    </xf>
    <xf numFmtId="165" fontId="24" fillId="0" borderId="2" xfId="0" applyNumberFormat="1" applyFont="1" applyBorder="1" applyAlignment="1">
      <alignment horizontal="right"/>
    </xf>
    <xf numFmtId="165" fontId="24" fillId="0" borderId="7" xfId="0" applyNumberFormat="1" applyFont="1" applyBorder="1" applyAlignment="1">
      <alignment horizontal="right"/>
    </xf>
    <xf numFmtId="0" fontId="24" fillId="5" borderId="6" xfId="271" applyFill="1" applyBorder="1" applyProtection="1">
      <protection locked="0"/>
    </xf>
    <xf numFmtId="0" fontId="24"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0" fontId="176" fillId="0" borderId="8" xfId="543" applyFont="1" applyBorder="1" applyAlignment="1">
      <alignment horizontal="center" wrapText="1"/>
    </xf>
    <xf numFmtId="0" fontId="176" fillId="0" borderId="0" xfId="543" applyFont="1" applyAlignment="1">
      <alignment horizontal="center" wrapText="1"/>
    </xf>
    <xf numFmtId="0" fontId="176" fillId="0" borderId="12" xfId="543" applyFont="1" applyBorder="1" applyAlignment="1">
      <alignment horizontal="center" wrapText="1"/>
    </xf>
    <xf numFmtId="0" fontId="176" fillId="0" borderId="9" xfId="543" applyFont="1" applyBorder="1" applyAlignment="1">
      <alignment horizontal="center" wrapText="1"/>
    </xf>
    <xf numFmtId="0" fontId="176" fillId="0" borderId="6" xfId="543" applyFont="1" applyBorder="1" applyAlignment="1">
      <alignment horizontal="center" wrapText="1"/>
    </xf>
    <xf numFmtId="0" fontId="176" fillId="0" borderId="10" xfId="543" applyFont="1" applyBorder="1" applyAlignment="1">
      <alignment horizontal="center" wrapText="1"/>
    </xf>
    <xf numFmtId="0" fontId="176" fillId="0" borderId="8" xfId="543" applyFont="1" applyBorder="1" applyAlignment="1">
      <alignment horizontal="center" vertical="top" wrapText="1"/>
    </xf>
    <xf numFmtId="0" fontId="176" fillId="0" borderId="0" xfId="543" applyFont="1" applyAlignment="1">
      <alignment horizontal="center" vertical="top" wrapText="1"/>
    </xf>
    <xf numFmtId="0" fontId="176" fillId="0" borderId="12" xfId="543" applyFont="1" applyBorder="1" applyAlignment="1">
      <alignment horizontal="center" vertical="top" wrapText="1"/>
    </xf>
    <xf numFmtId="0" fontId="176" fillId="0" borderId="9" xfId="543" applyFont="1" applyBorder="1" applyAlignment="1">
      <alignment horizontal="center" vertical="top" wrapText="1"/>
    </xf>
    <xf numFmtId="0" fontId="176" fillId="0" borderId="6" xfId="543" applyFont="1" applyBorder="1" applyAlignment="1">
      <alignment horizontal="center" vertical="top" wrapText="1"/>
    </xf>
    <xf numFmtId="0" fontId="176" fillId="0" borderId="10" xfId="543" applyFont="1" applyBorder="1" applyAlignment="1">
      <alignment horizontal="center" vertical="top" wrapText="1"/>
    </xf>
    <xf numFmtId="0" fontId="171" fillId="0" borderId="0" xfId="0" applyFont="1" applyAlignment="1">
      <alignment horizontal="center" vertical="center" wrapText="1"/>
    </xf>
    <xf numFmtId="0" fontId="15" fillId="0" borderId="3" xfId="543" applyBorder="1" applyAlignment="1">
      <alignment horizontal="center"/>
    </xf>
    <xf numFmtId="0" fontId="15" fillId="0" borderId="4" xfId="543" applyBorder="1" applyAlignment="1">
      <alignment horizontal="center"/>
    </xf>
    <xf numFmtId="0" fontId="15" fillId="0" borderId="5" xfId="543" applyBorder="1" applyAlignment="1">
      <alignment horizontal="center"/>
    </xf>
    <xf numFmtId="1" fontId="15" fillId="0" borderId="3" xfId="543" applyNumberFormat="1" applyBorder="1" applyAlignment="1">
      <alignment horizontal="center"/>
    </xf>
    <xf numFmtId="1" fontId="15" fillId="0" borderId="4" xfId="543" applyNumberFormat="1" applyBorder="1" applyAlignment="1">
      <alignment horizontal="center"/>
    </xf>
    <xf numFmtId="1" fontId="15"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3" fillId="10" borderId="0" xfId="543" applyNumberFormat="1" applyFont="1" applyFill="1" applyAlignment="1">
      <alignment horizontal="left" vertical="center" wrapText="1"/>
    </xf>
    <xf numFmtId="168" fontId="171"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8" fillId="0" borderId="0" xfId="0" applyFont="1" applyAlignment="1">
      <alignment horizontal="center"/>
    </xf>
    <xf numFmtId="0" fontId="15" fillId="0" borderId="0" xfId="0" applyFont="1" applyAlignment="1">
      <alignment horizontal="center"/>
    </xf>
    <xf numFmtId="0" fontId="30" fillId="0" borderId="0" xfId="0" applyFont="1" applyAlignment="1">
      <alignment horizontal="center"/>
    </xf>
    <xf numFmtId="0" fontId="15" fillId="0" borderId="0" xfId="0" applyFont="1" applyAlignment="1">
      <alignment wrapText="1"/>
    </xf>
    <xf numFmtId="0" fontId="15" fillId="0" borderId="0" xfId="0" applyFont="1" applyAlignment="1">
      <alignment horizontal="center" vertical="top"/>
    </xf>
    <xf numFmtId="0" fontId="24" fillId="0" borderId="0" xfId="0" applyFont="1" applyAlignment="1">
      <alignment horizontal="left" vertical="top" wrapText="1"/>
    </xf>
    <xf numFmtId="0" fontId="15" fillId="5" borderId="6" xfId="0" applyFont="1" applyFill="1" applyBorder="1" applyAlignment="1" applyProtection="1">
      <alignment horizontal="left"/>
      <protection locked="0"/>
    </xf>
    <xf numFmtId="0" fontId="24" fillId="5" borderId="6" xfId="0" applyFont="1" applyFill="1" applyBorder="1" applyAlignment="1" applyProtection="1">
      <alignment horizontal="left"/>
      <protection locked="0"/>
    </xf>
    <xf numFmtId="0" fontId="15" fillId="5" borderId="11" xfId="0" applyFont="1" applyFill="1" applyBorder="1" applyAlignment="1" applyProtection="1">
      <alignment horizontal="left" wrapText="1"/>
      <protection locked="0"/>
    </xf>
    <xf numFmtId="0" fontId="24"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1" xfId="0" applyFont="1" applyBorder="1" applyAlignment="1">
      <alignment horizontal="center" vertical="center" wrapText="1"/>
    </xf>
    <xf numFmtId="166" fontId="24" fillId="5" borderId="4" xfId="0" applyNumberFormat="1" applyFont="1" applyFill="1" applyBorder="1" applyAlignment="1" applyProtection="1">
      <alignment horizontal="left"/>
      <protection locked="0"/>
    </xf>
    <xf numFmtId="0" fontId="21" fillId="3" borderId="0" xfId="0" applyFont="1" applyFill="1" applyAlignment="1">
      <alignment horizontal="center" vertical="center"/>
    </xf>
    <xf numFmtId="172" fontId="22" fillId="0" borderId="11" xfId="0" applyNumberFormat="1" applyFont="1" applyBorder="1" applyAlignment="1">
      <alignment horizontal="center" vertical="center" wrapText="1"/>
    </xf>
    <xf numFmtId="166" fontId="24"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5" fillId="43" borderId="3" xfId="0" applyNumberFormat="1" applyFont="1" applyFill="1" applyBorder="1" applyAlignment="1" applyProtection="1">
      <alignment horizontal="center" vertical="center"/>
      <protection locked="0"/>
    </xf>
    <xf numFmtId="175" fontId="15" fillId="43" borderId="4" xfId="0" applyNumberFormat="1" applyFont="1" applyFill="1" applyBorder="1" applyAlignment="1" applyProtection="1">
      <alignment horizontal="center" vertical="center"/>
      <protection locked="0"/>
    </xf>
    <xf numFmtId="175" fontId="15" fillId="43" borderId="5" xfId="0" applyNumberFormat="1" applyFont="1" applyFill="1" applyBorder="1" applyAlignment="1" applyProtection="1">
      <alignment horizontal="center" vertical="center"/>
      <protection locked="0"/>
    </xf>
    <xf numFmtId="3" fontId="15" fillId="43" borderId="3" xfId="0" applyNumberFormat="1" applyFont="1" applyFill="1" applyBorder="1" applyAlignment="1" applyProtection="1">
      <alignment horizontal="center"/>
      <protection locked="0"/>
    </xf>
    <xf numFmtId="0" fontId="0" fillId="0" borderId="11" xfId="0" applyBorder="1" applyAlignment="1">
      <alignment horizontal="center"/>
    </xf>
    <xf numFmtId="0" fontId="15"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8" fillId="0" borderId="3" xfId="0" applyFont="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24" fillId="45" borderId="11" xfId="0" applyFont="1" applyFill="1" applyBorder="1" applyAlignment="1">
      <alignment horizontal="center"/>
    </xf>
    <xf numFmtId="0" fontId="24" fillId="45" borderId="3" xfId="0" applyFont="1" applyFill="1" applyBorder="1" applyAlignment="1">
      <alignment horizontal="center"/>
    </xf>
    <xf numFmtId="0" fontId="24" fillId="45" borderId="4" xfId="0" applyFont="1" applyFill="1" applyBorder="1" applyAlignment="1">
      <alignment horizontal="center"/>
    </xf>
    <xf numFmtId="0" fontId="24" fillId="45" borderId="5" xfId="0" applyFont="1" applyFill="1" applyBorder="1" applyAlignment="1">
      <alignment horizontal="center"/>
    </xf>
    <xf numFmtId="0" fontId="24" fillId="5" borderId="4" xfId="0" applyFont="1" applyFill="1" applyBorder="1" applyAlignment="1" applyProtection="1">
      <alignment horizontal="left"/>
      <protection locked="0"/>
    </xf>
    <xf numFmtId="0" fontId="24" fillId="0" borderId="11" xfId="0" applyFont="1" applyBorder="1" applyAlignment="1">
      <alignment horizontal="center"/>
    </xf>
    <xf numFmtId="0" fontId="15" fillId="0" borderId="11" xfId="0"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4" fillId="2" borderId="11" xfId="0" applyFont="1" applyFill="1" applyBorder="1" applyAlignment="1">
      <alignment horizont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5" fillId="0" borderId="11" xfId="543" applyBorder="1" applyAlignment="1">
      <alignment horizontal="center"/>
    </xf>
    <xf numFmtId="0" fontId="15" fillId="0" borderId="8" xfId="543" applyBorder="1" applyAlignment="1">
      <alignment horizontal="left" vertical="top" wrapText="1"/>
    </xf>
    <xf numFmtId="0" fontId="15" fillId="0" borderId="0" xfId="543" applyAlignment="1">
      <alignment horizontal="left" vertical="top" wrapText="1"/>
    </xf>
    <xf numFmtId="0" fontId="15" fillId="0" borderId="12" xfId="543" applyBorder="1" applyAlignment="1">
      <alignment horizontal="left" vertical="top" wrapText="1"/>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168" fontId="15" fillId="10" borderId="3" xfId="543" applyNumberFormat="1" applyFill="1" applyBorder="1" applyAlignment="1">
      <alignment horizontal="center"/>
    </xf>
    <xf numFmtId="168" fontId="15" fillId="10" borderId="4" xfId="543" applyNumberFormat="1" applyFill="1" applyBorder="1" applyAlignment="1">
      <alignment horizontal="center"/>
    </xf>
    <xf numFmtId="168" fontId="15" fillId="10" borderId="5" xfId="543" applyNumberFormat="1" applyFill="1" applyBorder="1" applyAlignment="1">
      <alignment horizontal="center"/>
    </xf>
    <xf numFmtId="0" fontId="15" fillId="2" borderId="3" xfId="543" applyFill="1" applyBorder="1" applyAlignment="1">
      <alignment horizontal="center"/>
    </xf>
    <xf numFmtId="0" fontId="15" fillId="2" borderId="4" xfId="543" applyFill="1" applyBorder="1" applyAlignment="1">
      <alignment horizontal="center"/>
    </xf>
    <xf numFmtId="0" fontId="15" fillId="2" borderId="5" xfId="543" applyFill="1" applyBorder="1" applyAlignment="1">
      <alignment horizontal="center"/>
    </xf>
    <xf numFmtId="0" fontId="22" fillId="0" borderId="8" xfId="543" applyFont="1" applyBorder="1" applyAlignment="1">
      <alignment horizontal="left" vertical="center" wrapText="1"/>
    </xf>
    <xf numFmtId="0" fontId="22" fillId="0" borderId="0" xfId="543" applyFont="1" applyAlignment="1">
      <alignment horizontal="left" vertical="center" wrapText="1"/>
    </xf>
    <xf numFmtId="0" fontId="22" fillId="0" borderId="12" xfId="543" applyFont="1" applyBorder="1" applyAlignment="1">
      <alignment horizontal="left" vertical="center" wrapText="1"/>
    </xf>
    <xf numFmtId="0" fontId="22" fillId="10" borderId="3" xfId="543" applyFont="1" applyFill="1" applyBorder="1" applyAlignment="1">
      <alignment horizontal="center"/>
    </xf>
    <xf numFmtId="0" fontId="22" fillId="10" borderId="4" xfId="543" applyFont="1" applyFill="1" applyBorder="1" applyAlignment="1">
      <alignment horizontal="center"/>
    </xf>
    <xf numFmtId="0" fontId="22" fillId="10" borderId="5" xfId="543" applyFont="1" applyFill="1" applyBorder="1" applyAlignment="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22" fillId="0" borderId="1" xfId="543" applyFont="1" applyBorder="1" applyAlignment="1">
      <alignment horizontal="left" vertical="center" wrapText="1"/>
    </xf>
    <xf numFmtId="0" fontId="22" fillId="0" borderId="2" xfId="543" applyFont="1" applyBorder="1" applyAlignment="1">
      <alignment horizontal="left" vertical="center" wrapText="1"/>
    </xf>
    <xf numFmtId="0" fontId="22" fillId="0" borderId="7" xfId="543" applyFont="1" applyBorder="1" applyAlignment="1">
      <alignment horizontal="left" vertical="center" wrapText="1"/>
    </xf>
    <xf numFmtId="0" fontId="15" fillId="0" borderId="9" xfId="543" applyBorder="1" applyAlignment="1">
      <alignment horizontal="left" vertical="top" wrapText="1"/>
    </xf>
    <xf numFmtId="0" fontId="15" fillId="0" borderId="6" xfId="543" applyBorder="1" applyAlignment="1">
      <alignment horizontal="left" vertical="top" wrapText="1"/>
    </xf>
    <xf numFmtId="0" fontId="15" fillId="0" borderId="10" xfId="543" applyBorder="1" applyAlignment="1">
      <alignment horizontal="left" vertical="top" wrapText="1"/>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182" fontId="23" fillId="43" borderId="11" xfId="8722" applyNumberFormat="1" applyFont="1" applyFill="1" applyBorder="1" applyAlignment="1" applyProtection="1">
      <alignment horizontal="center" vertical="center" wrapText="1"/>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22" fillId="0" borderId="1" xfId="0" applyFont="1" applyBorder="1" applyAlignment="1">
      <alignment horizontal="center"/>
    </xf>
    <xf numFmtId="0" fontId="22" fillId="0" borderId="2" xfId="0" applyFont="1" applyBorder="1" applyAlignment="1">
      <alignment horizontal="center"/>
    </xf>
    <xf numFmtId="0" fontId="22" fillId="0" borderId="7" xfId="0" applyFont="1" applyBorder="1" applyAlignment="1">
      <alignment horizontal="center"/>
    </xf>
    <xf numFmtId="164" fontId="34" fillId="5" borderId="3" xfId="0" applyNumberFormat="1" applyFont="1" applyFill="1" applyBorder="1" applyAlignment="1" applyProtection="1">
      <alignment horizontal="left"/>
      <protection locked="0"/>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15" fillId="5" borderId="3"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68" fontId="15" fillId="0" borderId="1" xfId="543" applyNumberFormat="1" applyBorder="1" applyAlignment="1">
      <alignment horizontal="center" vertical="center"/>
    </xf>
    <xf numFmtId="168" fontId="15" fillId="0" borderId="2" xfId="543" applyNumberFormat="1" applyBorder="1" applyAlignment="1">
      <alignment horizontal="center" vertical="center"/>
    </xf>
    <xf numFmtId="168" fontId="15" fillId="0" borderId="7" xfId="543" applyNumberFormat="1" applyBorder="1" applyAlignment="1">
      <alignment horizontal="center" vertical="center"/>
    </xf>
    <xf numFmtId="168" fontId="15" fillId="0" borderId="8" xfId="543" applyNumberFormat="1" applyBorder="1" applyAlignment="1">
      <alignment horizontal="center" vertical="center"/>
    </xf>
    <xf numFmtId="168" fontId="15" fillId="0" borderId="0" xfId="543" applyNumberFormat="1" applyAlignment="1">
      <alignment horizontal="center" vertical="center"/>
    </xf>
    <xf numFmtId="168" fontId="15" fillId="0" borderId="12" xfId="543" applyNumberFormat="1" applyBorder="1" applyAlignment="1">
      <alignment horizontal="center" vertical="center"/>
    </xf>
    <xf numFmtId="168" fontId="15" fillId="0" borderId="9" xfId="543" applyNumberFormat="1" applyBorder="1" applyAlignment="1">
      <alignment horizontal="center" vertical="center"/>
    </xf>
    <xf numFmtId="168" fontId="15" fillId="0" borderId="6" xfId="543" applyNumberFormat="1" applyBorder="1" applyAlignment="1">
      <alignment horizontal="center" vertical="center"/>
    </xf>
    <xf numFmtId="168" fontId="15" fillId="0" borderId="10" xfId="543" applyNumberFormat="1" applyBorder="1" applyAlignment="1">
      <alignment horizontal="center" vertical="center"/>
    </xf>
    <xf numFmtId="0" fontId="15" fillId="0" borderId="8"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0" fontId="15" fillId="0" borderId="8" xfId="543" applyBorder="1" applyAlignment="1">
      <alignment horizontal="left" vertical="center" wrapText="1"/>
    </xf>
    <xf numFmtId="0" fontId="15" fillId="0" borderId="0" xfId="543" applyAlignment="1">
      <alignment horizontal="left" vertical="center" wrapText="1"/>
    </xf>
    <xf numFmtId="0" fontId="15" fillId="0" borderId="12" xfId="543" applyBorder="1" applyAlignment="1">
      <alignment horizontal="left" vertical="center" wrapText="1"/>
    </xf>
    <xf numFmtId="0" fontId="15" fillId="0" borderId="9" xfId="543" applyBorder="1" applyAlignment="1">
      <alignment horizontal="left" vertical="center" wrapText="1"/>
    </xf>
    <xf numFmtId="0" fontId="15" fillId="0" borderId="6" xfId="543" applyBorder="1" applyAlignment="1">
      <alignment horizontal="left" vertical="center" wrapText="1"/>
    </xf>
    <xf numFmtId="0" fontId="15" fillId="0" borderId="10" xfId="543" applyBorder="1" applyAlignment="1">
      <alignment horizontal="left" vertical="center" wrapText="1"/>
    </xf>
    <xf numFmtId="0" fontId="22" fillId="0" borderId="8" xfId="0" applyFont="1" applyBorder="1" applyAlignment="1">
      <alignment horizontal="center" wrapText="1"/>
    </xf>
    <xf numFmtId="0" fontId="22" fillId="0" borderId="0" xfId="0" applyFont="1" applyAlignment="1">
      <alignment horizontal="center" wrapText="1"/>
    </xf>
    <xf numFmtId="0" fontId="22" fillId="0" borderId="12" xfId="0" applyFont="1" applyBorder="1" applyAlignment="1">
      <alignment horizontal="center" wrapText="1"/>
    </xf>
    <xf numFmtId="0" fontId="22" fillId="0" borderId="9" xfId="0" applyFont="1" applyBorder="1" applyAlignment="1">
      <alignment horizontal="center" wrapText="1"/>
    </xf>
    <xf numFmtId="0" fontId="22" fillId="0" borderId="6" xfId="0" applyFont="1" applyBorder="1" applyAlignment="1">
      <alignment horizontal="center" wrapText="1"/>
    </xf>
    <xf numFmtId="0" fontId="22"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5" fillId="0" borderId="1" xfId="543" applyFont="1" applyBorder="1" applyAlignment="1">
      <alignment horizontal="right"/>
    </xf>
    <xf numFmtId="0" fontId="35" fillId="0" borderId="2" xfId="543" applyFont="1" applyBorder="1" applyAlignment="1">
      <alignment horizontal="right"/>
    </xf>
    <xf numFmtId="0" fontId="35" fillId="0" borderId="7" xfId="543" applyFont="1" applyBorder="1" applyAlignment="1">
      <alignment horizontal="right"/>
    </xf>
    <xf numFmtId="168" fontId="15" fillId="0" borderId="11" xfId="543" applyNumberForma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0" fontId="35" fillId="0" borderId="4" xfId="543" applyFont="1" applyBorder="1" applyAlignment="1">
      <alignment horizontal="right" vertical="top" wrapText="1"/>
    </xf>
    <xf numFmtId="0" fontId="35" fillId="0" borderId="5" xfId="543" applyFont="1" applyBorder="1" applyAlignment="1">
      <alignment horizontal="right" vertical="top" wrapText="1"/>
    </xf>
    <xf numFmtId="0" fontId="23" fillId="0" borderId="3" xfId="543" applyFont="1" applyBorder="1" applyAlignment="1">
      <alignment horizontal="center"/>
    </xf>
    <xf numFmtId="0" fontId="23" fillId="0" borderId="5" xfId="543" applyFont="1" applyBorder="1" applyAlignment="1">
      <alignment horizontal="center"/>
    </xf>
    <xf numFmtId="1" fontId="23" fillId="0" borderId="3" xfId="543" applyNumberFormat="1" applyFont="1" applyBorder="1" applyAlignment="1">
      <alignment horizontal="center"/>
    </xf>
    <xf numFmtId="1" fontId="23" fillId="0" borderId="5" xfId="543" applyNumberFormat="1" applyFont="1" applyBorder="1" applyAlignment="1">
      <alignment horizontal="center"/>
    </xf>
    <xf numFmtId="0" fontId="34" fillId="0" borderId="3" xfId="543" applyFont="1" applyBorder="1" applyAlignment="1">
      <alignment horizontal="center"/>
    </xf>
    <xf numFmtId="0" fontId="34" fillId="0" borderId="5" xfId="543" applyFont="1" applyBorder="1" applyAlignment="1">
      <alignment horizontal="center"/>
    </xf>
    <xf numFmtId="0" fontId="22" fillId="0" borderId="1" xfId="543" applyFont="1" applyBorder="1" applyAlignment="1">
      <alignment horizontal="left" vertical="top" wrapText="1"/>
    </xf>
    <xf numFmtId="0" fontId="22" fillId="0" borderId="2" xfId="543" applyFont="1" applyBorder="1" applyAlignment="1">
      <alignment horizontal="left" vertical="top" wrapText="1"/>
    </xf>
    <xf numFmtId="0" fontId="22" fillId="0" borderId="7" xfId="543" applyFont="1" applyBorder="1" applyAlignment="1">
      <alignment horizontal="left" vertical="top" wrapText="1"/>
    </xf>
    <xf numFmtId="0" fontId="22" fillId="0" borderId="8" xfId="543" applyFont="1" applyBorder="1" applyAlignment="1">
      <alignment horizontal="left" vertical="top" wrapText="1"/>
    </xf>
    <xf numFmtId="0" fontId="22" fillId="0" borderId="0" xfId="543" applyFont="1" applyAlignment="1">
      <alignment horizontal="left" vertical="top" wrapText="1"/>
    </xf>
    <xf numFmtId="0" fontId="22" fillId="0" borderId="12" xfId="543" applyFont="1" applyBorder="1" applyAlignment="1">
      <alignment horizontal="left" vertical="top" wrapText="1"/>
    </xf>
    <xf numFmtId="0" fontId="167" fillId="0" borderId="8" xfId="543" applyFont="1" applyBorder="1" applyAlignment="1">
      <alignment horizontal="center" vertical="center" wrapText="1"/>
    </xf>
    <xf numFmtId="0" fontId="167" fillId="0" borderId="0" xfId="543" applyFont="1" applyAlignment="1">
      <alignment horizontal="center" vertical="center" wrapText="1"/>
    </xf>
    <xf numFmtId="0" fontId="167" fillId="0" borderId="12" xfId="543" applyFont="1" applyBorder="1" applyAlignment="1">
      <alignment horizontal="center" vertical="center" wrapText="1"/>
    </xf>
    <xf numFmtId="0" fontId="22" fillId="0" borderId="3" xfId="543" applyFont="1" applyBorder="1" applyAlignment="1">
      <alignment horizontal="right"/>
    </xf>
    <xf numFmtId="0" fontId="22" fillId="0" borderId="4" xfId="543" applyFont="1" applyBorder="1" applyAlignment="1">
      <alignment horizontal="right"/>
    </xf>
    <xf numFmtId="0" fontId="22" fillId="0" borderId="5" xfId="543" applyFont="1" applyBorder="1" applyAlignment="1">
      <alignment horizontal="right"/>
    </xf>
    <xf numFmtId="0" fontId="15" fillId="5" borderId="3" xfId="543"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5" fillId="43" borderId="11" xfId="0" applyFont="1" applyFill="1" applyBorder="1" applyAlignment="1" applyProtection="1">
      <alignment horizontal="center"/>
      <protection locked="0"/>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5" fillId="43" borderId="3" xfId="0" applyNumberFormat="1" applyFont="1" applyFill="1" applyBorder="1" applyAlignment="1" applyProtection="1">
      <alignment horizontal="center" vertical="center"/>
      <protection locked="0"/>
    </xf>
    <xf numFmtId="168" fontId="15" fillId="43" borderId="4" xfId="0" applyNumberFormat="1" applyFont="1" applyFill="1" applyBorder="1" applyAlignment="1" applyProtection="1">
      <alignment horizontal="center" vertical="center"/>
      <protection locked="0"/>
    </xf>
    <xf numFmtId="168" fontId="15" fillId="43" borderId="5" xfId="0" applyNumberFormat="1" applyFont="1" applyFill="1" applyBorder="1" applyAlignment="1" applyProtection="1">
      <alignment horizontal="center" vertical="center"/>
      <protection locked="0"/>
    </xf>
    <xf numFmtId="180" fontId="23" fillId="43" borderId="3" xfId="0" applyNumberFormat="1" applyFont="1" applyFill="1" applyBorder="1" applyAlignment="1" applyProtection="1">
      <alignment horizontal="center" vertical="center"/>
      <protection locked="0"/>
    </xf>
    <xf numFmtId="180" fontId="23" fillId="43" borderId="4" xfId="0" applyNumberFormat="1" applyFont="1" applyFill="1" applyBorder="1" applyAlignment="1" applyProtection="1">
      <alignment horizontal="center" vertical="center"/>
      <protection locked="0"/>
    </xf>
    <xf numFmtId="180" fontId="23" fillId="43" borderId="5" xfId="0" applyNumberFormat="1" applyFont="1" applyFill="1" applyBorder="1" applyAlignment="1" applyProtection="1">
      <alignment horizontal="center" vertical="center"/>
      <protection locked="0"/>
    </xf>
    <xf numFmtId="0" fontId="24" fillId="5" borderId="9" xfId="0" applyFont="1" applyFill="1" applyBorder="1" applyAlignment="1" applyProtection="1">
      <alignment horizontal="center"/>
      <protection locked="0"/>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15"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0" xfId="0" applyFont="1" applyBorder="1" applyAlignment="1">
      <alignment horizontal="center" vertical="center" wrapText="1"/>
    </xf>
    <xf numFmtId="180" fontId="0" fillId="0" borderId="6" xfId="0" applyNumberFormat="1" applyBorder="1" applyAlignment="1">
      <alignment horizontal="center"/>
    </xf>
    <xf numFmtId="0" fontId="24" fillId="0" borderId="3" xfId="0" applyFont="1" applyBorder="1" applyAlignment="1">
      <alignment horizontal="left"/>
    </xf>
    <xf numFmtId="1" fontId="15" fillId="0" borderId="3" xfId="0" applyNumberFormat="1" applyFont="1" applyBorder="1" applyAlignment="1">
      <alignment horizontal="center"/>
    </xf>
    <xf numFmtId="1" fontId="24" fillId="0" borderId="4" xfId="0" applyNumberFormat="1" applyFont="1" applyBorder="1" applyAlignment="1">
      <alignment horizontal="center"/>
    </xf>
    <xf numFmtId="1" fontId="24" fillId="0" borderId="5" xfId="0" applyNumberFormat="1" applyFont="1" applyBorder="1" applyAlignment="1">
      <alignment horizontal="center"/>
    </xf>
    <xf numFmtId="0" fontId="22" fillId="0" borderId="3" xfId="0" applyFont="1" applyBorder="1" applyAlignment="1">
      <alignment horizontal="right"/>
    </xf>
    <xf numFmtId="0" fontId="22" fillId="0" borderId="4" xfId="0" applyFont="1" applyBorder="1" applyAlignment="1">
      <alignment horizontal="right"/>
    </xf>
    <xf numFmtId="0" fontId="22" fillId="0" borderId="5" xfId="0" applyFont="1" applyBorder="1" applyAlignment="1">
      <alignment horizontal="right"/>
    </xf>
    <xf numFmtId="165" fontId="22" fillId="0" borderId="3" xfId="271" applyNumberFormat="1" applyFont="1" applyBorder="1" applyAlignment="1">
      <alignment horizontal="center"/>
    </xf>
    <xf numFmtId="165" fontId="22" fillId="0" borderId="4" xfId="271" applyNumberFormat="1" applyFont="1" applyBorder="1" applyAlignment="1">
      <alignment horizontal="center"/>
    </xf>
    <xf numFmtId="165" fontId="22" fillId="0" borderId="5" xfId="271" applyNumberFormat="1" applyFont="1" applyBorder="1" applyAlignment="1">
      <alignment horizontal="center"/>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52" fillId="5" borderId="3" xfId="0" applyFont="1" applyFill="1" applyBorder="1" applyAlignment="1" applyProtection="1">
      <alignment horizontal="center"/>
      <protection locked="0"/>
    </xf>
    <xf numFmtId="0" fontId="52" fillId="5" borderId="4" xfId="0" applyFont="1" applyFill="1" applyBorder="1" applyAlignment="1" applyProtection="1">
      <alignment horizontal="center"/>
      <protection locked="0"/>
    </xf>
    <xf numFmtId="0" fontId="52" fillId="5" borderId="5" xfId="0" applyFont="1" applyFill="1" applyBorder="1" applyAlignment="1" applyProtection="1">
      <alignment horizontal="center"/>
      <protection locked="0"/>
    </xf>
    <xf numFmtId="0" fontId="22" fillId="0" borderId="2" xfId="0" applyFont="1" applyBorder="1" applyAlignment="1">
      <alignment horizontal="right"/>
    </xf>
    <xf numFmtId="0" fontId="22" fillId="0" borderId="7" xfId="0" applyFont="1" applyBorder="1" applyAlignment="1">
      <alignment horizontal="right"/>
    </xf>
    <xf numFmtId="0" fontId="15" fillId="0" borderId="0" xfId="543" applyAlignment="1">
      <alignment horizontal="center"/>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0" fontId="34" fillId="5" borderId="3" xfId="543" applyFont="1" applyFill="1" applyBorder="1" applyAlignment="1">
      <alignment horizontal="center"/>
    </xf>
    <xf numFmtId="0" fontId="34" fillId="5" borderId="4" xfId="543" applyFont="1" applyFill="1" applyBorder="1" applyAlignment="1">
      <alignment horizontal="center"/>
    </xf>
    <xf numFmtId="0" fontId="34" fillId="5" borderId="5" xfId="543" applyFont="1" applyFill="1" applyBorder="1" applyAlignment="1">
      <alignment horizontal="center"/>
    </xf>
    <xf numFmtId="49" fontId="15" fillId="5" borderId="3" xfId="543" applyNumberFormat="1" applyFill="1" applyBorder="1" applyAlignment="1">
      <alignment horizontal="center"/>
    </xf>
    <xf numFmtId="49" fontId="15" fillId="5" borderId="5" xfId="543" applyNumberFormat="1" applyFill="1" applyBorder="1" applyAlignment="1">
      <alignment horizontal="center"/>
    </xf>
    <xf numFmtId="171" fontId="15" fillId="0" borderId="0" xfId="543" applyNumberFormat="1" applyAlignment="1">
      <alignment horizontal="center"/>
    </xf>
    <xf numFmtId="168" fontId="0" fillId="0" borderId="11" xfId="0" applyNumberFormat="1" applyBorder="1" applyAlignment="1">
      <alignment horizontal="center"/>
    </xf>
    <xf numFmtId="0" fontId="24" fillId="5" borderId="3" xfId="0" applyFont="1" applyFill="1" applyBorder="1" applyProtection="1">
      <protection locked="0"/>
    </xf>
    <xf numFmtId="0" fontId="24" fillId="0" borderId="4" xfId="0" applyFont="1" applyBorder="1" applyProtection="1">
      <protection locked="0"/>
    </xf>
    <xf numFmtId="0" fontId="24" fillId="0" borderId="5" xfId="0" applyFont="1" applyBorder="1" applyProtection="1">
      <protection locked="0"/>
    </xf>
    <xf numFmtId="168" fontId="24" fillId="5" borderId="6" xfId="0" applyNumberFormat="1" applyFont="1" applyFill="1" applyBorder="1" applyAlignment="1" applyProtection="1">
      <alignment horizontal="right"/>
      <protection locked="0"/>
    </xf>
    <xf numFmtId="168" fontId="24"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4" fontId="24"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xf>
    <xf numFmtId="1" fontId="24" fillId="5" borderId="3" xfId="0" applyNumberFormat="1" applyFont="1" applyFill="1" applyBorder="1" applyAlignment="1" applyProtection="1">
      <alignment horizontal="right" vertical="top"/>
      <protection locked="0"/>
    </xf>
    <xf numFmtId="1" fontId="24" fillId="5" borderId="4" xfId="0" applyNumberFormat="1" applyFont="1" applyFill="1" applyBorder="1" applyAlignment="1" applyProtection="1">
      <alignment horizontal="right" vertical="top"/>
      <protection locked="0"/>
    </xf>
    <xf numFmtId="1" fontId="24" fillId="5" borderId="5" xfId="0" applyNumberFormat="1" applyFont="1" applyFill="1" applyBorder="1" applyAlignment="1" applyProtection="1">
      <alignment horizontal="right" vertical="top"/>
      <protection locked="0"/>
    </xf>
    <xf numFmtId="0" fontId="15"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3" fontId="24" fillId="5" borderId="11" xfId="0" applyNumberFormat="1" applyFont="1" applyFill="1" applyBorder="1" applyAlignment="1" applyProtection="1">
      <alignment horizontal="center"/>
      <protection locked="0"/>
    </xf>
    <xf numFmtId="0" fontId="22" fillId="0" borderId="6" xfId="0" applyFont="1" applyBorder="1" applyAlignment="1">
      <alignment horizontal="right"/>
    </xf>
    <xf numFmtId="0" fontId="15" fillId="5" borderId="4" xfId="0" applyFont="1" applyFill="1" applyBorder="1" applyAlignment="1" applyProtection="1">
      <alignment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66" fontId="15" fillId="5" borderId="4" xfId="0" applyNumberFormat="1" applyFont="1" applyFill="1" applyBorder="1" applyAlignment="1" applyProtection="1">
      <alignment horizontal="left"/>
      <protection locked="0"/>
    </xf>
    <xf numFmtId="168" fontId="22" fillId="0" borderId="3" xfId="543" applyNumberFormat="1" applyFont="1" applyBorder="1" applyAlignment="1">
      <alignment horizontal="center" vertical="center"/>
    </xf>
    <xf numFmtId="168" fontId="22" fillId="0" borderId="4" xfId="543" applyNumberFormat="1" applyFont="1" applyBorder="1" applyAlignment="1">
      <alignment horizontal="center" vertical="center"/>
    </xf>
    <xf numFmtId="168" fontId="22" fillId="0" borderId="5" xfId="543" applyNumberFormat="1" applyFont="1" applyBorder="1" applyAlignment="1">
      <alignment horizontal="center" vertical="center"/>
    </xf>
    <xf numFmtId="0" fontId="22" fillId="0" borderId="6" xfId="0" applyFont="1" applyBorder="1" applyAlignment="1">
      <alignment horizontal="center"/>
    </xf>
    <xf numFmtId="9" fontId="15"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5" fillId="5" borderId="10"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5" fillId="0" borderId="0" xfId="543" applyNumberFormat="1" applyAlignment="1">
      <alignment horizontal="right"/>
    </xf>
    <xf numFmtId="2" fontId="15" fillId="0" borderId="0" xfId="543" applyNumberFormat="1" applyAlignment="1">
      <alignment horizontal="center"/>
    </xf>
    <xf numFmtId="0" fontId="22" fillId="0" borderId="1" xfId="0" applyFont="1" applyBorder="1" applyAlignment="1">
      <alignment horizontal="center" wrapText="1"/>
    </xf>
    <xf numFmtId="0" fontId="22" fillId="0" borderId="2" xfId="0" applyFont="1" applyBorder="1" applyAlignment="1">
      <alignment horizontal="center" wrapText="1"/>
    </xf>
    <xf numFmtId="9" fontId="15"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2"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2" fillId="0" borderId="7" xfId="0" applyFont="1" applyBorder="1" applyAlignment="1">
      <alignment horizontal="center" wrapText="1"/>
    </xf>
    <xf numFmtId="0" fontId="22" fillId="0" borderId="9" xfId="0" applyFont="1" applyBorder="1" applyAlignment="1">
      <alignment horizontal="right"/>
    </xf>
    <xf numFmtId="0" fontId="22" fillId="0" borderId="10" xfId="0" applyFont="1" applyBorder="1" applyAlignment="1">
      <alignment horizontal="right"/>
    </xf>
    <xf numFmtId="0" fontId="0" fillId="5" borderId="3" xfId="0" quotePrefix="1" applyFill="1" applyBorder="1" applyAlignment="1" applyProtection="1">
      <alignment horizontal="right"/>
      <protection locked="0"/>
    </xf>
    <xf numFmtId="0" fontId="15"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4" fillId="5" borderId="4" xfId="0" applyNumberFormat="1" applyFont="1" applyFill="1" applyBorder="1" applyAlignment="1" applyProtection="1">
      <alignment horizontal="right"/>
      <protection locked="0"/>
    </xf>
    <xf numFmtId="0" fontId="24" fillId="5" borderId="11" xfId="0" applyFont="1" applyFill="1" applyBorder="1" applyAlignment="1" applyProtection="1">
      <alignment horizontal="center"/>
      <protection locked="0"/>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168" fontId="15" fillId="0" borderId="3" xfId="0" applyNumberFormat="1" applyFont="1" applyBorder="1" applyAlignment="1">
      <alignment horizontal="left" vertical="top"/>
    </xf>
    <xf numFmtId="168" fontId="24" fillId="0" borderId="4" xfId="0" applyNumberFormat="1" applyFont="1" applyBorder="1" applyAlignment="1">
      <alignment horizontal="left" vertical="top"/>
    </xf>
    <xf numFmtId="168" fontId="24" fillId="0" borderId="5" xfId="0" applyNumberFormat="1" applyFont="1" applyBorder="1" applyAlignment="1">
      <alignment horizontal="left" vertical="top"/>
    </xf>
    <xf numFmtId="168" fontId="24" fillId="0" borderId="11" xfId="0" applyNumberFormat="1" applyFont="1" applyBorder="1" applyAlignment="1">
      <alignment horizontal="center"/>
    </xf>
    <xf numFmtId="0" fontId="15" fillId="43" borderId="4" xfId="0" applyFont="1" applyFill="1" applyBorder="1" applyAlignment="1" applyProtection="1">
      <alignment horizontal="center"/>
      <protection locked="0"/>
    </xf>
    <xf numFmtId="168" fontId="24" fillId="0" borderId="3"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5"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5"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4" fillId="0" borderId="6" xfId="0" applyNumberFormat="1" applyFont="1" applyBorder="1" applyAlignment="1">
      <alignment horizontal="center"/>
    </xf>
    <xf numFmtId="0" fontId="15" fillId="5" borderId="6" xfId="0" applyFont="1" applyFill="1" applyBorder="1" applyAlignment="1" applyProtection="1">
      <alignment horizontal="left" wrapText="1"/>
      <protection locked="0"/>
    </xf>
    <xf numFmtId="0" fontId="24" fillId="5" borderId="6" xfId="0" applyFont="1" applyFill="1" applyBorder="1" applyAlignment="1" applyProtection="1">
      <alignment horizontal="left" wrapText="1"/>
      <protection locked="0"/>
    </xf>
    <xf numFmtId="0" fontId="23" fillId="0" borderId="0" xfId="0" applyFont="1" applyAlignment="1">
      <alignment horizontal="center"/>
    </xf>
    <xf numFmtId="0" fontId="0" fillId="5" borderId="6" xfId="0" applyFill="1" applyBorder="1" applyProtection="1">
      <protection locked="0"/>
    </xf>
    <xf numFmtId="0" fontId="2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43" borderId="6" xfId="0" applyFont="1" applyFill="1" applyBorder="1" applyAlignment="1" applyProtection="1">
      <alignment horizontal="center"/>
      <protection locked="0"/>
    </xf>
    <xf numFmtId="0" fontId="15" fillId="0" borderId="0" xfId="0" applyFont="1" applyAlignment="1" applyProtection="1">
      <alignment horizontal="left"/>
      <protection locked="0"/>
    </xf>
    <xf numFmtId="0" fontId="15" fillId="0" borderId="6" xfId="0" applyFont="1" applyBorder="1" applyAlignment="1">
      <alignment horizontal="left"/>
    </xf>
    <xf numFmtId="0" fontId="15" fillId="43" borderId="0" xfId="0" applyFont="1" applyFill="1" applyAlignment="1" applyProtection="1">
      <alignment horizontal="left" vertical="center" wrapText="1"/>
      <protection locked="0"/>
    </xf>
    <xf numFmtId="0" fontId="15"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5"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4" fillId="0" borderId="6" xfId="0" applyFont="1" applyBorder="1" applyAlignment="1">
      <alignment horizontal="left" wrapText="1"/>
    </xf>
    <xf numFmtId="0" fontId="15"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4" fillId="5" borderId="6" xfId="271" applyNumberFormat="1" applyFill="1" applyBorder="1" applyAlignment="1" applyProtection="1">
      <alignment horizontal="left"/>
      <protection locked="0"/>
    </xf>
    <xf numFmtId="9" fontId="23" fillId="0" borderId="3" xfId="4494" applyFont="1" applyBorder="1" applyAlignment="1" applyProtection="1">
      <alignment horizontal="center"/>
    </xf>
    <xf numFmtId="9" fontId="23"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43" borderId="6" xfId="0" applyFont="1" applyFill="1" applyBorder="1" applyAlignment="1" applyProtection="1">
      <alignment horizontal="left"/>
      <protection locked="0"/>
    </xf>
    <xf numFmtId="0" fontId="168" fillId="0" borderId="0" xfId="0" applyFont="1" applyAlignment="1" applyProtection="1">
      <alignment horizontal="left" vertical="top" wrapText="1"/>
      <protection locked="0"/>
    </xf>
    <xf numFmtId="0" fontId="15" fillId="0" borderId="6" xfId="0" applyFont="1" applyBorder="1" applyAlignment="1" applyProtection="1">
      <alignment horizontal="left"/>
      <protection locked="0"/>
    </xf>
    <xf numFmtId="0" fontId="16" fillId="0" borderId="0" xfId="244" applyFill="1" applyAlignment="1" applyProtection="1">
      <alignment horizontal="left"/>
      <protection locked="0"/>
    </xf>
    <xf numFmtId="168" fontId="15" fillId="0" borderId="6" xfId="0" applyNumberFormat="1" applyFont="1" applyBorder="1" applyAlignment="1">
      <alignment horizontal="center"/>
    </xf>
    <xf numFmtId="166" fontId="15" fillId="5" borderId="6" xfId="271" applyNumberFormat="1" applyFont="1" applyFill="1" applyBorder="1" applyAlignment="1" applyProtection="1">
      <alignment horizontal="left"/>
      <protection locked="0"/>
    </xf>
    <xf numFmtId="0" fontId="24" fillId="0" borderId="6" xfId="0" applyFont="1" applyBorder="1" applyAlignment="1">
      <alignment horizontal="left"/>
    </xf>
    <xf numFmtId="166" fontId="24" fillId="5" borderId="4" xfId="271" applyNumberFormat="1" applyFill="1" applyBorder="1" applyAlignment="1" applyProtection="1">
      <alignment horizontal="left"/>
      <protection locked="0"/>
    </xf>
    <xf numFmtId="0" fontId="15" fillId="5" borderId="0" xfId="244"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15" fillId="0" borderId="3" xfId="271" applyFont="1" applyBorder="1" applyAlignment="1">
      <alignment horizontal="left"/>
    </xf>
    <xf numFmtId="0" fontId="15" fillId="0" borderId="4" xfId="271" applyFont="1" applyBorder="1" applyAlignment="1">
      <alignment horizontal="left"/>
    </xf>
    <xf numFmtId="0" fontId="15" fillId="0" borderId="5" xfId="271"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178" fontId="24"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5"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2" fillId="0" borderId="9" xfId="0" applyFont="1" applyBorder="1" applyAlignment="1">
      <alignment horizontal="center"/>
    </xf>
    <xf numFmtId="0" fontId="22" fillId="0" borderId="10" xfId="0" applyFont="1" applyBorder="1" applyAlignment="1">
      <alignment horizontal="center"/>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4"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4" fillId="0" borderId="11" xfId="0" applyNumberFormat="1" applyFont="1" applyBorder="1" applyAlignment="1">
      <alignment horizontal="center"/>
    </xf>
    <xf numFmtId="1" fontId="24" fillId="5" borderId="11" xfId="0" quotePrefix="1" applyNumberFormat="1" applyFont="1" applyFill="1" applyBorder="1" applyAlignment="1" applyProtection="1">
      <alignment horizontal="center"/>
      <protection locked="0"/>
    </xf>
    <xf numFmtId="0" fontId="34"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0" fontId="0" fillId="43" borderId="6" xfId="0" applyNumberForma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4"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4" fillId="0" borderId="6" xfId="0" applyFont="1" applyBorder="1" applyAlignment="1">
      <alignment vertical="top" wrapText="1"/>
    </xf>
    <xf numFmtId="177" fontId="24" fillId="5" borderId="6" xfId="0" applyNumberFormat="1" applyFont="1" applyFill="1" applyBorder="1" applyAlignment="1" applyProtection="1">
      <alignment horizontal="left" vertical="top" wrapText="1"/>
      <protection locked="0"/>
    </xf>
    <xf numFmtId="0" fontId="24" fillId="0" borderId="2" xfId="0" applyFont="1" applyBorder="1" applyAlignment="1">
      <alignment vertical="top" wrapText="1"/>
    </xf>
    <xf numFmtId="0" fontId="52" fillId="0" borderId="0" xfId="0" applyFont="1" applyAlignment="1">
      <alignment vertical="top" wrapText="1"/>
    </xf>
    <xf numFmtId="0" fontId="24" fillId="0" borderId="2" xfId="0" applyFont="1" applyBorder="1" applyAlignment="1">
      <alignment horizontal="left" vertical="top" wrapText="1"/>
    </xf>
    <xf numFmtId="0" fontId="53" fillId="0" borderId="0" xfId="0" applyFont="1" applyAlignment="1">
      <alignment vertical="top" wrapText="1"/>
    </xf>
    <xf numFmtId="0" fontId="24" fillId="0" borderId="0" xfId="0" applyFont="1" applyAlignment="1">
      <alignment vertical="top" wrapText="1"/>
    </xf>
    <xf numFmtId="0" fontId="24" fillId="0" borderId="6" xfId="0" applyFont="1" applyBorder="1" applyAlignment="1">
      <alignment horizontal="right" vertical="top" wrapText="1"/>
    </xf>
    <xf numFmtId="0" fontId="53" fillId="0" borderId="0" xfId="569" applyFont="1" applyAlignment="1">
      <alignment vertical="top" wrapText="1"/>
    </xf>
    <xf numFmtId="0" fontId="15" fillId="0" borderId="0" xfId="569" applyAlignment="1">
      <alignment horizontal="right" vertical="top" wrapText="1"/>
    </xf>
    <xf numFmtId="0" fontId="21" fillId="3" borderId="3" xfId="0" applyFont="1" applyFill="1" applyBorder="1" applyAlignment="1">
      <alignment horizontal="left" vertical="top"/>
    </xf>
    <xf numFmtId="0" fontId="21" fillId="3" borderId="4" xfId="0" applyFont="1" applyFill="1" applyBorder="1" applyAlignment="1">
      <alignment horizontal="left" vertical="top"/>
    </xf>
    <xf numFmtId="0" fontId="21" fillId="3" borderId="5" xfId="0" applyFont="1" applyFill="1" applyBorder="1" applyAlignment="1">
      <alignment horizontal="left" vertical="top"/>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5" fillId="0" borderId="50" xfId="4495" applyFont="1" applyBorder="1" applyAlignment="1">
      <alignment horizontal="left" vertical="center" wrapText="1"/>
    </xf>
    <xf numFmtId="0" fontId="15" fillId="0" borderId="51" xfId="4495" applyFont="1" applyBorder="1" applyAlignment="1">
      <alignment horizontal="left" vertical="center" wrapText="1"/>
    </xf>
    <xf numFmtId="0" fontId="15" fillId="0" borderId="52" xfId="4495" applyFont="1" applyBorder="1" applyAlignment="1">
      <alignment horizontal="left" vertical="center" wrapText="1"/>
    </xf>
    <xf numFmtId="0" fontId="15" fillId="0" borderId="57" xfId="4495" applyFont="1" applyBorder="1" applyAlignment="1">
      <alignment horizontal="left" vertical="center" wrapText="1"/>
    </xf>
    <xf numFmtId="0" fontId="15" fillId="0" borderId="58" xfId="4495" applyFont="1" applyBorder="1" applyAlignment="1">
      <alignment horizontal="left" vertical="center" wrapText="1"/>
    </xf>
    <xf numFmtId="0" fontId="15" fillId="0" borderId="59" xfId="4495" applyFont="1" applyBorder="1" applyAlignment="1">
      <alignment horizontal="left" vertical="center" wrapText="1"/>
    </xf>
    <xf numFmtId="0" fontId="15" fillId="0" borderId="53" xfId="4495" applyFont="1" applyBorder="1" applyAlignment="1">
      <alignment horizontal="left" vertical="center" wrapText="1"/>
    </xf>
    <xf numFmtId="0" fontId="15" fillId="0" borderId="0" xfId="4495" applyFont="1" applyAlignment="1">
      <alignment horizontal="left" vertical="center" wrapText="1"/>
    </xf>
    <xf numFmtId="0" fontId="15" fillId="0" borderId="54" xfId="4495" applyFont="1" applyBorder="1" applyAlignment="1">
      <alignment horizontal="left" vertical="center" wrapText="1"/>
    </xf>
    <xf numFmtId="0" fontId="22"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1" fillId="3" borderId="2" xfId="4495" applyFont="1" applyFill="1" applyBorder="1" applyAlignment="1">
      <alignment horizontal="center" vertical="center"/>
    </xf>
    <xf numFmtId="0" fontId="21" fillId="3" borderId="16" xfId="4495" applyFont="1" applyFill="1" applyBorder="1" applyAlignment="1">
      <alignment horizontal="center" vertical="center"/>
    </xf>
    <xf numFmtId="0" fontId="22" fillId="0" borderId="48" xfId="4495" applyFont="1" applyBorder="1" applyAlignment="1">
      <alignment horizontal="left" vertical="top"/>
    </xf>
    <xf numFmtId="0" fontId="22" fillId="0" borderId="49" xfId="4495" applyFont="1" applyBorder="1" applyAlignment="1">
      <alignment horizontal="left" vertical="top"/>
    </xf>
    <xf numFmtId="1" fontId="15" fillId="0" borderId="3" xfId="4495" applyNumberFormat="1" applyFont="1" applyBorder="1" applyAlignment="1">
      <alignment horizontal="center"/>
    </xf>
    <xf numFmtId="1" fontId="15" fillId="0" borderId="4" xfId="4495" applyNumberFormat="1" applyFont="1" applyBorder="1" applyAlignment="1">
      <alignment horizontal="center"/>
    </xf>
    <xf numFmtId="1" fontId="15" fillId="0" borderId="5" xfId="4495" applyNumberFormat="1" applyFont="1" applyBorder="1" applyAlignment="1">
      <alignment horizontal="center"/>
    </xf>
    <xf numFmtId="0" fontId="15" fillId="0" borderId="50" xfId="4495" applyFont="1" applyBorder="1" applyAlignment="1">
      <alignment vertical="center" wrapText="1"/>
    </xf>
    <xf numFmtId="0" fontId="15" fillId="0" borderId="51" xfId="4495" applyFont="1" applyBorder="1" applyAlignment="1">
      <alignment vertical="center" wrapText="1"/>
    </xf>
    <xf numFmtId="0" fontId="15" fillId="0" borderId="52" xfId="4495" applyFont="1" applyBorder="1" applyAlignment="1">
      <alignment vertical="center" wrapText="1"/>
    </xf>
    <xf numFmtId="0" fontId="15" fillId="0" borderId="57" xfId="4495" applyFont="1" applyBorder="1" applyAlignment="1">
      <alignment vertical="center"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2" fillId="0" borderId="0" xfId="4495" applyFont="1" applyAlignment="1">
      <alignment horizontal="center" vertical="top"/>
    </xf>
    <xf numFmtId="0" fontId="15"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5" fillId="0" borderId="0" xfId="1192" applyAlignment="1">
      <alignment horizontal="right"/>
    </xf>
    <xf numFmtId="0" fontId="15" fillId="5" borderId="6" xfId="1192" applyFill="1" applyBorder="1" applyAlignment="1" applyProtection="1">
      <alignment horizontal="left"/>
      <protection locked="0"/>
    </xf>
    <xf numFmtId="168" fontId="15" fillId="43" borderId="6" xfId="4495" applyNumberFormat="1" applyFont="1" applyFill="1" applyBorder="1" applyAlignment="1" applyProtection="1">
      <alignment horizontal="right"/>
      <protection locked="0"/>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9" fontId="15" fillId="0" borderId="0" xfId="1192" quotePrefix="1" applyNumberFormat="1" applyAlignment="1">
      <alignment horizontal="center"/>
    </xf>
    <xf numFmtId="1" fontId="15" fillId="5" borderId="2" xfId="1192" applyNumberFormat="1" applyFill="1" applyBorder="1" applyAlignment="1" applyProtection="1">
      <alignment horizontal="center"/>
      <protection locked="0"/>
    </xf>
    <xf numFmtId="9" fontId="15" fillId="5" borderId="4" xfId="1192" applyNumberFormat="1" applyFill="1" applyBorder="1" applyAlignment="1" applyProtection="1">
      <alignment horizontal="left"/>
      <protection locked="0"/>
    </xf>
    <xf numFmtId="168" fontId="15" fillId="0" borderId="0" xfId="1192" applyNumberFormat="1" applyAlignment="1">
      <alignment horizontal="right"/>
    </xf>
    <xf numFmtId="1" fontId="15"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5" fillId="5" borderId="4" xfId="1192" applyNumberFormat="1" applyFill="1" applyBorder="1" applyAlignment="1" applyProtection="1">
      <alignment horizontal="center"/>
      <protection locked="0"/>
    </xf>
    <xf numFmtId="2" fontId="15" fillId="0" borderId="0" xfId="1192" applyNumberFormat="1" applyAlignment="1">
      <alignment horizontal="right"/>
    </xf>
    <xf numFmtId="0" fontId="23" fillId="5" borderId="6" xfId="4495" applyFont="1" applyFill="1" applyBorder="1" applyAlignment="1" applyProtection="1">
      <alignment horizontal="left"/>
      <protection locked="0"/>
    </xf>
    <xf numFmtId="0" fontId="15" fillId="0" borderId="0" xfId="4495" applyFont="1" applyAlignment="1">
      <alignment horizontal="left"/>
    </xf>
    <xf numFmtId="0" fontId="52" fillId="5" borderId="6" xfId="4495" applyFont="1" applyFill="1" applyBorder="1" applyAlignment="1" applyProtection="1">
      <alignment horizontal="left"/>
      <protection locked="0"/>
    </xf>
    <xf numFmtId="0" fontId="15" fillId="5" borderId="6" xfId="4495" applyFont="1" applyFill="1" applyBorder="1" applyAlignment="1" applyProtection="1">
      <alignment horizontal="center"/>
      <protection locked="0"/>
    </xf>
    <xf numFmtId="1" fontId="15" fillId="0" borderId="11" xfId="4495" applyNumberFormat="1" applyFont="1" applyBorder="1" applyAlignment="1">
      <alignment horizontal="center"/>
    </xf>
    <xf numFmtId="0" fontId="15" fillId="0" borderId="11" xfId="4495" applyFont="1" applyBorder="1" applyAlignment="1">
      <alignment horizontal="center"/>
    </xf>
    <xf numFmtId="0" fontId="119" fillId="5" borderId="6" xfId="4495" applyFill="1" applyBorder="1" applyAlignment="1" applyProtection="1">
      <alignment horizontal="center"/>
      <protection locked="0"/>
    </xf>
    <xf numFmtId="0" fontId="22" fillId="0" borderId="0" xfId="4495" applyFont="1" applyAlignment="1">
      <alignment horizontal="left" vertical="top"/>
    </xf>
    <xf numFmtId="0" fontId="119" fillId="0" borderId="0" xfId="4495" applyAlignment="1" applyProtection="1">
      <alignment horizontal="center"/>
      <protection locked="0"/>
    </xf>
    <xf numFmtId="0" fontId="15" fillId="0" borderId="3" xfId="4495" applyFont="1" applyBorder="1" applyAlignment="1">
      <alignment horizontal="center"/>
    </xf>
    <xf numFmtId="0" fontId="15" fillId="0" borderId="4" xfId="4495" applyFont="1" applyBorder="1" applyAlignment="1">
      <alignment horizontal="center"/>
    </xf>
    <xf numFmtId="0" fontId="15" fillId="0" borderId="5" xfId="4495" applyFont="1" applyBorder="1" applyAlignment="1">
      <alignment horizontal="center"/>
    </xf>
    <xf numFmtId="168" fontId="15" fillId="0" borderId="6" xfId="4496" applyNumberFormat="1" applyFont="1" applyBorder="1" applyAlignment="1">
      <alignment horizontal="center"/>
    </xf>
    <xf numFmtId="9" fontId="15" fillId="0" borderId="4" xfId="543" applyNumberFormat="1" applyBorder="1" applyAlignment="1">
      <alignment horizontal="center"/>
    </xf>
    <xf numFmtId="0" fontId="15" fillId="0" borderId="4" xfId="4496" applyFont="1" applyBorder="1" applyAlignment="1">
      <alignment horizontal="center"/>
    </xf>
    <xf numFmtId="0" fontId="15" fillId="0" borderId="5" xfId="4496" applyFont="1" applyBorder="1" applyAlignment="1">
      <alignment horizontal="center"/>
    </xf>
    <xf numFmtId="168" fontId="15" fillId="0" borderId="6" xfId="4495" applyNumberFormat="1" applyFont="1" applyBorder="1" applyAlignment="1">
      <alignment horizontal="right"/>
    </xf>
    <xf numFmtId="168" fontId="117" fillId="0" borderId="6" xfId="4495" applyNumberFormat="1" applyFont="1" applyBorder="1" applyAlignment="1">
      <alignment horizontal="right"/>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8" fontId="15" fillId="0" borderId="4" xfId="4495" applyNumberFormat="1" applyFont="1" applyBorder="1" applyAlignment="1">
      <alignment horizontal="right"/>
    </xf>
    <xf numFmtId="165" fontId="15" fillId="43" borderId="3" xfId="4495" applyNumberFormat="1" applyFont="1" applyFill="1" applyBorder="1" applyAlignment="1" applyProtection="1">
      <alignment horizontal="center"/>
      <protection locked="0"/>
    </xf>
    <xf numFmtId="165" fontId="15" fillId="43" borderId="4" xfId="4495" applyNumberFormat="1" applyFont="1" applyFill="1" applyBorder="1" applyAlignment="1" applyProtection="1">
      <alignment horizontal="center"/>
      <protection locked="0"/>
    </xf>
    <xf numFmtId="165" fontId="15" fillId="43" borderId="5" xfId="4495" applyNumberFormat="1" applyFont="1" applyFill="1" applyBorder="1" applyAlignment="1" applyProtection="1">
      <alignment horizontal="center"/>
      <protection locked="0"/>
    </xf>
    <xf numFmtId="165" fontId="15" fillId="0" borderId="6" xfId="1192" applyNumberFormat="1" applyBorder="1" applyAlignment="1">
      <alignment horizontal="right"/>
    </xf>
    <xf numFmtId="168" fontId="15" fillId="0" borderId="2" xfId="1192" applyNumberFormat="1" applyBorder="1" applyAlignment="1">
      <alignment horizontal="right"/>
    </xf>
    <xf numFmtId="165" fontId="15" fillId="0" borderId="0" xfId="1192" applyNumberFormat="1" applyAlignment="1">
      <alignment horizontal="right"/>
    </xf>
    <xf numFmtId="0" fontId="15" fillId="0" borderId="53" xfId="4495" applyFont="1" applyBorder="1" applyAlignment="1">
      <alignment horizontal="left" vertical="top" wrapText="1"/>
    </xf>
    <xf numFmtId="0" fontId="15" fillId="0" borderId="0" xfId="4495" applyFont="1" applyAlignment="1">
      <alignment horizontal="left" vertical="top" wrapText="1"/>
    </xf>
    <xf numFmtId="0" fontId="15" fillId="0" borderId="54" xfId="4495" applyFont="1" applyBorder="1" applyAlignment="1">
      <alignment horizontal="left" vertical="top" wrapText="1"/>
    </xf>
    <xf numFmtId="0" fontId="15" fillId="0" borderId="57" xfId="4495" applyFont="1" applyBorder="1" applyAlignment="1">
      <alignment horizontal="left" vertical="top" wrapText="1"/>
    </xf>
    <xf numFmtId="0" fontId="15" fillId="0" borderId="58" xfId="4495" applyFont="1" applyBorder="1" applyAlignment="1">
      <alignment horizontal="left" vertical="top" wrapText="1"/>
    </xf>
    <xf numFmtId="0" fontId="15" fillId="0" borderId="59" xfId="4495" applyFont="1" applyBorder="1" applyAlignment="1">
      <alignment horizontal="left" vertical="top" wrapText="1"/>
    </xf>
    <xf numFmtId="0" fontId="15" fillId="0" borderId="50" xfId="4495" applyFont="1" applyBorder="1" applyAlignment="1">
      <alignment horizontal="left" vertical="top" wrapText="1"/>
    </xf>
    <xf numFmtId="0" fontId="15" fillId="0" borderId="51" xfId="4495" applyFont="1" applyBorder="1" applyAlignment="1">
      <alignment horizontal="left" vertical="top" wrapText="1"/>
    </xf>
    <xf numFmtId="0" fontId="15" fillId="0" borderId="52" xfId="4495" applyFont="1" applyBorder="1" applyAlignment="1">
      <alignment horizontal="left" vertical="top" wrapText="1"/>
    </xf>
    <xf numFmtId="0" fontId="22" fillId="0" borderId="0" xfId="4495" applyFont="1"/>
    <xf numFmtId="0" fontId="15" fillId="43" borderId="53" xfId="4495" applyFont="1" applyFill="1" applyBorder="1" applyAlignment="1" applyProtection="1">
      <alignment vertical="top" wrapText="1"/>
      <protection locked="0"/>
    </xf>
    <xf numFmtId="0" fontId="15" fillId="43" borderId="0" xfId="4495" applyFont="1" applyFill="1" applyAlignment="1" applyProtection="1">
      <alignment vertical="top" wrapText="1"/>
      <protection locked="0"/>
    </xf>
    <xf numFmtId="0" fontId="15" fillId="43" borderId="54" xfId="4495" applyFont="1" applyFill="1" applyBorder="1" applyAlignment="1" applyProtection="1">
      <alignment vertical="top" wrapText="1"/>
      <protection locked="0"/>
    </xf>
    <xf numFmtId="0" fontId="15" fillId="43" borderId="55" xfId="4495" applyFont="1" applyFill="1" applyBorder="1" applyAlignment="1" applyProtection="1">
      <alignment vertical="top" wrapText="1"/>
      <protection locked="0"/>
    </xf>
    <xf numFmtId="0" fontId="15" fillId="43" borderId="6" xfId="4495" applyFont="1" applyFill="1" applyBorder="1" applyAlignment="1" applyProtection="1">
      <alignment vertical="top" wrapText="1"/>
      <protection locked="0"/>
    </xf>
    <xf numFmtId="0" fontId="15" fillId="43" borderId="56" xfId="4495" applyFont="1" applyFill="1" applyBorder="1" applyAlignment="1" applyProtection="1">
      <alignment vertical="top" wrapText="1"/>
      <protection locked="0"/>
    </xf>
    <xf numFmtId="0" fontId="15" fillId="43" borderId="0" xfId="4495" applyFont="1" applyFill="1" applyAlignment="1" applyProtection="1">
      <alignment horizontal="left" vertical="center" wrapText="1"/>
      <protection locked="0"/>
    </xf>
    <xf numFmtId="0" fontId="15" fillId="43" borderId="54" xfId="4495" applyFont="1" applyFill="1" applyBorder="1" applyAlignment="1" applyProtection="1">
      <alignment horizontal="left" vertical="center" wrapText="1"/>
      <protection locked="0"/>
    </xf>
    <xf numFmtId="0" fontId="15" fillId="43" borderId="6" xfId="4495" applyFont="1" applyFill="1" applyBorder="1" applyAlignment="1" applyProtection="1">
      <alignment horizontal="left" vertical="center" wrapText="1"/>
      <protection locked="0"/>
    </xf>
    <xf numFmtId="0" fontId="15"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2" fillId="0" borderId="0" xfId="4495" applyFont="1" applyAlignment="1">
      <alignment horizontal="center"/>
    </xf>
    <xf numFmtId="0" fontId="22" fillId="0" borderId="54" xfId="4495" applyFont="1" applyBorder="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5" fillId="0" borderId="0" xfId="4495" applyFont="1" applyAlignment="1">
      <alignment horizontal="left" vertical="center" wrapText="1" shrinkToFit="1"/>
    </xf>
    <xf numFmtId="0" fontId="15" fillId="5" borderId="6" xfId="4495" applyFont="1" applyFill="1" applyBorder="1" applyAlignment="1" applyProtection="1">
      <alignment horizontal="center" vertical="center" wrapText="1" shrinkToFit="1"/>
      <protection locked="0"/>
    </xf>
    <xf numFmtId="0" fontId="15" fillId="5" borderId="6" xfId="4495" applyFont="1" applyFill="1" applyBorder="1" applyAlignment="1" applyProtection="1">
      <alignment horizontal="left" wrapText="1" shrinkToFit="1"/>
      <protection locked="0"/>
    </xf>
    <xf numFmtId="0" fontId="15" fillId="43" borderId="6" xfId="1192" applyFill="1" applyBorder="1" applyAlignment="1" applyProtection="1">
      <alignment horizontal="left" vertical="top"/>
      <protection locked="0"/>
    </xf>
    <xf numFmtId="0" fontId="174" fillId="0" borderId="0" xfId="0" applyFont="1" applyAlignment="1" applyProtection="1">
      <alignment horizontal="left"/>
      <protection locked="0"/>
    </xf>
    <xf numFmtId="168" fontId="171" fillId="0" borderId="0" xfId="0" applyNumberFormat="1" applyFont="1" applyAlignment="1">
      <alignment horizontal="center" vertical="top" wrapText="1"/>
    </xf>
    <xf numFmtId="168" fontId="171" fillId="0" borderId="12" xfId="0" applyNumberFormat="1" applyFont="1" applyBorder="1" applyAlignment="1">
      <alignment horizontal="center" vertical="top" wrapText="1"/>
    </xf>
    <xf numFmtId="0" fontId="23" fillId="0" borderId="0" xfId="4495" applyFont="1" applyAlignment="1">
      <alignment horizontal="center"/>
    </xf>
    <xf numFmtId="0" fontId="15" fillId="0" borderId="0" xfId="4495" applyFont="1" applyAlignment="1">
      <alignment wrapText="1"/>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22" fillId="0" borderId="0" xfId="4495" applyFont="1" applyAlignment="1">
      <alignment horizontal="left" vertical="top" wrapText="1"/>
    </xf>
    <xf numFmtId="0" fontId="15" fillId="45" borderId="11" xfId="4495" applyFont="1" applyFill="1" applyBorder="1" applyAlignment="1">
      <alignment horizontal="center"/>
    </xf>
    <xf numFmtId="0" fontId="129" fillId="0" borderId="0" xfId="4495" applyFont="1" applyAlignment="1">
      <alignment horizontal="left" vertical="center" wrapText="1"/>
    </xf>
    <xf numFmtId="0" fontId="22" fillId="0" borderId="11" xfId="4495" applyFont="1" applyBorder="1" applyAlignment="1">
      <alignment horizontal="center"/>
    </xf>
    <xf numFmtId="0" fontId="23" fillId="0" borderId="58" xfId="4495" applyFont="1" applyBorder="1" applyAlignment="1">
      <alignment horizontal="left" vertical="top" wrapText="1"/>
    </xf>
    <xf numFmtId="0" fontId="22" fillId="0" borderId="51" xfId="4495" applyFont="1" applyBorder="1" applyAlignment="1">
      <alignment horizontal="center" vertical="top"/>
    </xf>
    <xf numFmtId="0" fontId="22"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23"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3" fillId="5" borderId="58" xfId="4495" applyNumberFormat="1" applyFont="1" applyFill="1" applyBorder="1" applyAlignment="1">
      <alignment horizontal="left"/>
    </xf>
    <xf numFmtId="0" fontId="119" fillId="0" borderId="0" xfId="4495" applyAlignment="1">
      <alignment horizontal="center"/>
    </xf>
    <xf numFmtId="9" fontId="23" fillId="5" borderId="6" xfId="4495" applyNumberFormat="1" applyFont="1" applyFill="1" applyBorder="1" applyAlignment="1">
      <alignment horizontal="left"/>
    </xf>
    <xf numFmtId="0" fontId="119" fillId="5" borderId="55" xfId="4495" applyFill="1" applyBorder="1" applyAlignment="1">
      <alignment horizontal="center"/>
    </xf>
    <xf numFmtId="0" fontId="119" fillId="5" borderId="6" xfId="4495" applyFill="1" applyBorder="1" applyAlignment="1">
      <alignment horizontal="center"/>
    </xf>
    <xf numFmtId="0" fontId="23" fillId="5" borderId="0" xfId="4495" applyFont="1" applyFill="1" applyAlignment="1">
      <alignment horizontal="left" vertical="top" wrapText="1"/>
    </xf>
    <xf numFmtId="0" fontId="23" fillId="5" borderId="58" xfId="4495" applyFont="1" applyFill="1" applyBorder="1" applyAlignment="1">
      <alignment horizontal="left" vertical="top" wrapText="1"/>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3" fillId="5" borderId="0" xfId="4495" applyFont="1" applyFill="1" applyAlignment="1">
      <alignment horizontal="left" vertical="top"/>
    </xf>
    <xf numFmtId="0" fontId="119" fillId="5" borderId="53" xfId="4495" applyFill="1" applyBorder="1" applyAlignment="1">
      <alignment horizontal="center"/>
    </xf>
    <xf numFmtId="0" fontId="119" fillId="5" borderId="0" xfId="4495" applyFill="1" applyAlignment="1">
      <alignment horizontal="center"/>
    </xf>
    <xf numFmtId="0" fontId="22" fillId="0" borderId="4" xfId="4495" applyFont="1" applyBorder="1" applyAlignment="1">
      <alignment horizontal="left"/>
    </xf>
    <xf numFmtId="0" fontId="22" fillId="0" borderId="5" xfId="4495" applyFont="1" applyBorder="1" applyAlignment="1">
      <alignment horizontal="left"/>
    </xf>
    <xf numFmtId="1" fontId="22" fillId="0" borderId="4" xfId="4495" applyNumberFormat="1" applyFont="1" applyBorder="1" applyAlignment="1">
      <alignment horizontal="center" wrapText="1"/>
    </xf>
    <xf numFmtId="0" fontId="22" fillId="0" borderId="4" xfId="4495" applyFont="1" applyBorder="1" applyAlignment="1">
      <alignment horizontal="center" wrapText="1"/>
    </xf>
    <xf numFmtId="0" fontId="22" fillId="0" borderId="5" xfId="4495" applyFont="1" applyBorder="1" applyAlignment="1">
      <alignment horizontal="center" wrapText="1"/>
    </xf>
    <xf numFmtId="0" fontId="22" fillId="0" borderId="3" xfId="4495" applyFont="1" applyBorder="1" applyAlignment="1">
      <alignment horizontal="center" wrapText="1"/>
    </xf>
    <xf numFmtId="0" fontId="15" fillId="0" borderId="50" xfId="4496" applyFont="1" applyBorder="1" applyAlignment="1">
      <alignment horizontal="left" wrapText="1"/>
    </xf>
    <xf numFmtId="0" fontId="15" fillId="0" borderId="51" xfId="4496" applyFont="1" applyBorder="1" applyAlignment="1">
      <alignment horizontal="left" wrapText="1"/>
    </xf>
    <xf numFmtId="0" fontId="15" fillId="0" borderId="52" xfId="4496" applyFont="1" applyBorder="1" applyAlignment="1">
      <alignment horizontal="left" wrapText="1"/>
    </xf>
    <xf numFmtId="0" fontId="15" fillId="0" borderId="53" xfId="4496" applyFont="1" applyBorder="1" applyAlignment="1">
      <alignment horizontal="left" wrapText="1"/>
    </xf>
    <xf numFmtId="0" fontId="15" fillId="0" borderId="0" xfId="4496" applyFont="1" applyAlignment="1">
      <alignment horizontal="left" wrapText="1"/>
    </xf>
    <xf numFmtId="0" fontId="15" fillId="0" borderId="54" xfId="4496" applyFont="1" applyBorder="1" applyAlignment="1">
      <alignment horizontal="left" wrapText="1"/>
    </xf>
    <xf numFmtId="0" fontId="15" fillId="0" borderId="57" xfId="4496" applyFont="1" applyBorder="1" applyAlignment="1">
      <alignment horizontal="left" wrapText="1"/>
    </xf>
    <xf numFmtId="0" fontId="15" fillId="0" borderId="58" xfId="4496" applyFont="1" applyBorder="1" applyAlignment="1">
      <alignment horizontal="left" wrapText="1"/>
    </xf>
    <xf numFmtId="0" fontId="15" fillId="0" borderId="59" xfId="4496" applyFont="1" applyBorder="1" applyAlignment="1">
      <alignment horizontal="left" wrapText="1"/>
    </xf>
    <xf numFmtId="1" fontId="15" fillId="0" borderId="4" xfId="4496" applyNumberFormat="1" applyFont="1" applyBorder="1" applyAlignment="1">
      <alignment horizontal="center"/>
    </xf>
    <xf numFmtId="1" fontId="15" fillId="0" borderId="5" xfId="4496" applyNumberFormat="1" applyFont="1" applyBorder="1" applyAlignment="1">
      <alignment horizontal="center"/>
    </xf>
    <xf numFmtId="49" fontId="21" fillId="3" borderId="2" xfId="4495" applyNumberFormat="1" applyFont="1" applyFill="1" applyBorder="1" applyAlignment="1">
      <alignment horizontal="center" vertical="center" wrapText="1"/>
    </xf>
    <xf numFmtId="49" fontId="21" fillId="3" borderId="2" xfId="4495" applyNumberFormat="1" applyFont="1" applyFill="1" applyBorder="1" applyAlignment="1">
      <alignment horizontal="center" vertical="center"/>
    </xf>
    <xf numFmtId="49" fontId="21" fillId="3" borderId="0" xfId="4495" applyNumberFormat="1" applyFont="1" applyFill="1" applyAlignment="1">
      <alignment horizontal="center" vertical="center"/>
    </xf>
    <xf numFmtId="0" fontId="22" fillId="0" borderId="1" xfId="4495" applyFont="1" applyBorder="1" applyAlignment="1">
      <alignment horizontal="center" wrapText="1"/>
    </xf>
    <xf numFmtId="0" fontId="22" fillId="0" borderId="2" xfId="4495" applyFont="1" applyBorder="1" applyAlignment="1">
      <alignment horizontal="center" wrapText="1"/>
    </xf>
    <xf numFmtId="0" fontId="22" fillId="0" borderId="7" xfId="4495" applyFont="1" applyBorder="1" applyAlignment="1">
      <alignment horizontal="center" wrapText="1"/>
    </xf>
    <xf numFmtId="0" fontId="22" fillId="0" borderId="9" xfId="4495" applyFont="1" applyBorder="1" applyAlignment="1">
      <alignment horizontal="center" wrapText="1"/>
    </xf>
    <xf numFmtId="0" fontId="22" fillId="0" borderId="6" xfId="4495" applyFont="1" applyBorder="1" applyAlignment="1">
      <alignment horizontal="center" wrapText="1"/>
    </xf>
    <xf numFmtId="0" fontId="22" fillId="0" borderId="10" xfId="4495" applyFont="1" applyBorder="1" applyAlignment="1">
      <alignment horizontal="center" wrapText="1"/>
    </xf>
    <xf numFmtId="1" fontId="22" fillId="0" borderId="11" xfId="4495" applyNumberFormat="1" applyFont="1" applyBorder="1" applyAlignment="1">
      <alignment horizontal="center"/>
    </xf>
    <xf numFmtId="0" fontId="15" fillId="0" borderId="4" xfId="4495" applyFont="1" applyBorder="1" applyAlignment="1">
      <alignment horizontal="left"/>
    </xf>
    <xf numFmtId="0" fontId="15" fillId="0" borderId="5" xfId="4495" applyFont="1" applyBorder="1" applyAlignment="1">
      <alignment horizontal="left"/>
    </xf>
    <xf numFmtId="1" fontId="15" fillId="46" borderId="11" xfId="4495" applyNumberFormat="1" applyFont="1" applyFill="1" applyBorder="1" applyAlignment="1">
      <alignment horizontal="center"/>
    </xf>
    <xf numFmtId="0" fontId="22" fillId="0" borderId="3" xfId="4495" applyFont="1" applyBorder="1" applyAlignment="1">
      <alignment horizontal="left"/>
    </xf>
    <xf numFmtId="0" fontId="15" fillId="5" borderId="11" xfId="4495" applyFont="1" applyFill="1" applyBorder="1" applyAlignment="1" applyProtection="1">
      <alignment horizontal="center"/>
      <protection locked="0"/>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68" fontId="15" fillId="0" borderId="6" xfId="1192" applyNumberFormat="1" applyBorder="1" applyAlignment="1">
      <alignment horizontal="right"/>
    </xf>
    <xf numFmtId="0" fontId="117" fillId="0" borderId="4" xfId="1192" applyFont="1" applyBorder="1" applyAlignment="1">
      <alignment horizontal="left"/>
    </xf>
    <xf numFmtId="168" fontId="15" fillId="43" borderId="6" xfId="543" applyNumberFormat="1" applyFill="1" applyBorder="1" applyAlignment="1" applyProtection="1">
      <alignment horizontal="center"/>
      <protection locked="0"/>
    </xf>
    <xf numFmtId="0" fontId="15" fillId="0" borderId="6" xfId="1192" applyBorder="1" applyAlignment="1">
      <alignment horizontal="left"/>
    </xf>
    <xf numFmtId="0" fontId="15" fillId="0" borderId="6" xfId="1192" applyBorder="1" applyAlignment="1">
      <alignment horizontal="right"/>
    </xf>
    <xf numFmtId="168" fontId="15" fillId="43" borderId="6" xfId="1192" applyNumberFormat="1" applyFill="1" applyBorder="1" applyAlignment="1" applyProtection="1">
      <alignment horizontal="right"/>
      <protection locked="0"/>
    </xf>
    <xf numFmtId="10" fontId="23" fillId="0" borderId="2" xfId="4495" applyNumberFormat="1" applyFont="1" applyBorder="1" applyAlignment="1">
      <alignment horizontal="center"/>
    </xf>
    <xf numFmtId="4" fontId="23" fillId="0" borderId="0" xfId="4495" applyNumberFormat="1" applyFont="1" applyAlignment="1">
      <alignment horizontal="center"/>
    </xf>
    <xf numFmtId="0" fontId="31" fillId="42" borderId="2" xfId="4495" applyFont="1" applyFill="1" applyBorder="1" applyAlignment="1">
      <alignment horizontal="center"/>
    </xf>
    <xf numFmtId="0" fontId="31" fillId="42" borderId="6" xfId="4495" applyFont="1" applyFill="1" applyBorder="1" applyAlignment="1">
      <alignment horizontal="center"/>
    </xf>
    <xf numFmtId="4" fontId="23" fillId="0" borderId="6" xfId="4495" applyNumberFormat="1" applyFont="1" applyBorder="1" applyAlignment="1">
      <alignment horizontal="center"/>
    </xf>
    <xf numFmtId="168" fontId="15" fillId="0" borderId="4" xfId="1192" applyNumberFormat="1" applyBorder="1" applyAlignment="1">
      <alignment horizontal="right"/>
    </xf>
    <xf numFmtId="168" fontId="15" fillId="0" borderId="4" xfId="4496" applyNumberFormat="1" applyFont="1" applyBorder="1" applyAlignment="1">
      <alignment horizontal="center"/>
    </xf>
    <xf numFmtId="9" fontId="15" fillId="0" borderId="4" xfId="4496" applyNumberFormat="1" applyFont="1" applyBorder="1" applyAlignment="1">
      <alignment horizontal="center"/>
    </xf>
    <xf numFmtId="164" fontId="15" fillId="0" borderId="50" xfId="4495" applyNumberFormat="1" applyFont="1" applyBorder="1" applyAlignment="1">
      <alignment horizontal="left" vertical="top" wrapText="1"/>
    </xf>
    <xf numFmtId="164" fontId="15" fillId="0" borderId="51" xfId="4495" applyNumberFormat="1" applyFont="1" applyBorder="1" applyAlignment="1">
      <alignment horizontal="left" vertical="top" wrapText="1"/>
    </xf>
    <xf numFmtId="164" fontId="15" fillId="0" borderId="52" xfId="4495" applyNumberFormat="1" applyFont="1" applyBorder="1" applyAlignment="1">
      <alignment horizontal="left" vertical="top" wrapText="1"/>
    </xf>
    <xf numFmtId="164" fontId="15" fillId="0" borderId="53" xfId="4495" applyNumberFormat="1" applyFont="1" applyBorder="1" applyAlignment="1">
      <alignment horizontal="left" vertical="top" wrapText="1"/>
    </xf>
    <xf numFmtId="164" fontId="15" fillId="0" borderId="0" xfId="4495" applyNumberFormat="1" applyFont="1" applyAlignment="1">
      <alignment horizontal="left" vertical="top" wrapText="1"/>
    </xf>
    <xf numFmtId="164" fontId="15" fillId="0" borderId="54" xfId="4495" applyNumberFormat="1" applyFont="1" applyBorder="1" applyAlignment="1">
      <alignment horizontal="left" vertical="top" wrapText="1"/>
    </xf>
    <xf numFmtId="164" fontId="15" fillId="0" borderId="57" xfId="4495" applyNumberFormat="1" applyFont="1" applyBorder="1" applyAlignment="1">
      <alignment horizontal="left" vertical="top" wrapText="1"/>
    </xf>
    <xf numFmtId="164" fontId="15" fillId="0" borderId="58" xfId="4495" applyNumberFormat="1" applyFont="1" applyBorder="1" applyAlignment="1">
      <alignment horizontal="left" vertical="top" wrapText="1"/>
    </xf>
    <xf numFmtId="164" fontId="15" fillId="0" borderId="59" xfId="4495" applyNumberFormat="1" applyFont="1" applyBorder="1" applyAlignment="1">
      <alignment horizontal="left" vertical="top" wrapText="1"/>
    </xf>
    <xf numFmtId="4" fontId="23" fillId="0" borderId="3" xfId="4495" applyNumberFormat="1" applyFont="1" applyBorder="1" applyAlignment="1">
      <alignment horizontal="center"/>
    </xf>
    <xf numFmtId="4" fontId="23" fillId="0" borderId="4" xfId="4495" applyNumberFormat="1" applyFont="1" applyBorder="1" applyAlignment="1">
      <alignment horizontal="center"/>
    </xf>
    <xf numFmtId="4" fontId="23"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5"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80" xfId="4496" applyFont="1" applyBorder="1" applyAlignment="1">
      <alignment horizontal="right"/>
    </xf>
    <xf numFmtId="0" fontId="97" fillId="0" borderId="11" xfId="4496" applyFont="1" applyBorder="1" applyAlignment="1">
      <alignment horizontal="right"/>
    </xf>
    <xf numFmtId="0" fontId="97" fillId="0" borderId="72" xfId="4496" applyFont="1" applyBorder="1" applyAlignment="1">
      <alignment horizontal="right"/>
    </xf>
    <xf numFmtId="0" fontId="97" fillId="0" borderId="73" xfId="4496" applyFont="1" applyBorder="1" applyAlignment="1">
      <alignment horizontal="right"/>
    </xf>
    <xf numFmtId="0" fontId="97" fillId="0" borderId="11" xfId="4496" applyFont="1" applyBorder="1"/>
    <xf numFmtId="0" fontId="97" fillId="0" borderId="91" xfId="4496" applyFont="1" applyBorder="1"/>
    <xf numFmtId="0" fontId="97" fillId="0" borderId="73" xfId="4496" applyFont="1" applyBorder="1"/>
    <xf numFmtId="0" fontId="97" fillId="0" borderId="93" xfId="4496" applyFont="1" applyBorder="1"/>
    <xf numFmtId="0" fontId="97" fillId="0" borderId="70" xfId="4496" applyFont="1" applyBorder="1" applyAlignment="1">
      <alignment horizontal="right"/>
    </xf>
    <xf numFmtId="0" fontId="97" fillId="0" borderId="71" xfId="4496" applyFont="1" applyBorder="1" applyAlignment="1">
      <alignment horizontal="right"/>
    </xf>
    <xf numFmtId="0" fontId="136" fillId="0" borderId="90" xfId="4496" applyFont="1" applyBorder="1" applyAlignment="1">
      <alignment horizontal="center" vertical="top" wrapText="1"/>
    </xf>
    <xf numFmtId="0" fontId="136" fillId="0" borderId="89" xfId="4496" applyFont="1" applyBorder="1" applyAlignment="1">
      <alignment horizontal="center" vertical="top" wrapText="1"/>
    </xf>
    <xf numFmtId="0" fontId="97" fillId="0" borderId="71" xfId="4496" applyFont="1" applyBorder="1"/>
    <xf numFmtId="0" fontId="97" fillId="0" borderId="74" xfId="4496" applyFont="1" applyBorder="1"/>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15" xfId="4496" applyFont="1" applyBorder="1" applyAlignment="1">
      <alignment horizontal="left" indent="1"/>
    </xf>
    <xf numFmtId="0" fontId="136" fillId="0" borderId="71" xfId="4496" applyFont="1" applyBorder="1" applyAlignment="1">
      <alignment horizontal="left" indent="1"/>
    </xf>
    <xf numFmtId="168" fontId="97" fillId="0" borderId="11" xfId="4499" applyNumberFormat="1" applyFont="1" applyFill="1" applyBorder="1" applyAlignment="1" applyProtection="1">
      <alignment horizontal="left" vertical="center" indent="1"/>
    </xf>
    <xf numFmtId="168" fontId="97" fillId="0" borderId="13"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168" fontId="97" fillId="0" borderId="84" xfId="4499" applyNumberFormat="1" applyFont="1" applyFill="1" applyBorder="1" applyAlignment="1" applyProtection="1">
      <alignment horizontal="left" vertical="center" indent="1"/>
    </xf>
    <xf numFmtId="168" fontId="97" fillId="0" borderId="83" xfId="4499" applyNumberFormat="1" applyFont="1" applyFill="1" applyBorder="1" applyAlignment="1" applyProtection="1">
      <alignment horizontal="left" vertical="center" indent="1"/>
    </xf>
    <xf numFmtId="43" fontId="145" fillId="53" borderId="80" xfId="698" applyFont="1" applyFill="1" applyBorder="1" applyAlignment="1" applyProtection="1">
      <alignment horizontal="right"/>
      <protection hidden="1"/>
    </xf>
    <xf numFmtId="43" fontId="145" fillId="53" borderId="11" xfId="698" applyFont="1" applyFill="1" applyBorder="1" applyAlignment="1" applyProtection="1">
      <alignment horizontal="right"/>
      <protection hidden="1"/>
    </xf>
    <xf numFmtId="44" fontId="145" fillId="0" borderId="11" xfId="700" applyFont="1" applyBorder="1" applyAlignment="1" applyProtection="1">
      <alignment horizontal="center"/>
      <protection hidden="1"/>
    </xf>
    <xf numFmtId="164" fontId="145" fillId="0" borderId="11" xfId="700" applyNumberFormat="1" applyFont="1" applyBorder="1" applyAlignment="1" applyProtection="1">
      <alignment horizontal="center"/>
      <protection hidden="1"/>
    </xf>
    <xf numFmtId="9" fontId="145" fillId="0" borderId="11" xfId="1022" applyFont="1" applyBorder="1" applyAlignment="1" applyProtection="1">
      <alignment horizontal="center"/>
      <protection hidden="1"/>
    </xf>
    <xf numFmtId="0" fontId="147" fillId="53" borderId="80" xfId="698" applyNumberFormat="1" applyFont="1" applyFill="1" applyBorder="1" applyAlignment="1" applyProtection="1">
      <alignment horizontal="center"/>
      <protection hidden="1"/>
    </xf>
    <xf numFmtId="0" fontId="147" fillId="53" borderId="11" xfId="698" applyNumberFormat="1" applyFont="1" applyFill="1" applyBorder="1" applyAlignment="1" applyProtection="1">
      <alignment horizontal="center"/>
      <protection hidden="1"/>
    </xf>
    <xf numFmtId="0" fontId="147" fillId="49" borderId="11" xfId="0" applyFont="1" applyFill="1" applyBorder="1" applyAlignment="1" applyProtection="1">
      <alignment horizontal="center"/>
      <protection locked="0"/>
    </xf>
    <xf numFmtId="14" fontId="177" fillId="49" borderId="11" xfId="700" applyNumberFormat="1" applyFont="1" applyFill="1" applyBorder="1" applyAlignment="1" applyProtection="1">
      <alignment horizontal="center"/>
      <protection locked="0"/>
    </xf>
    <xf numFmtId="164" fontId="147" fillId="49" borderId="11" xfId="700" applyNumberFormat="1" applyFont="1" applyFill="1" applyBorder="1" applyAlignment="1" applyProtection="1">
      <alignment horizontal="center"/>
      <protection locked="0"/>
    </xf>
    <xf numFmtId="9" fontId="147" fillId="49" borderId="11" xfId="1022" applyFont="1" applyFill="1" applyBorder="1" applyAlignment="1" applyProtection="1">
      <alignment horizontal="center"/>
      <protection locked="0"/>
    </xf>
    <xf numFmtId="0" fontId="147" fillId="49" borderId="3" xfId="0" applyFont="1" applyFill="1" applyBorder="1" applyAlignment="1" applyProtection="1">
      <alignment horizontal="center"/>
      <protection locked="0"/>
    </xf>
    <xf numFmtId="0" fontId="147" fillId="49" borderId="4" xfId="0" applyFont="1" applyFill="1" applyBorder="1" applyAlignment="1" applyProtection="1">
      <alignment horizontal="center"/>
      <protection locked="0"/>
    </xf>
    <xf numFmtId="0" fontId="147" fillId="49" borderId="5" xfId="0" applyFont="1" applyFill="1" applyBorder="1" applyAlignment="1" applyProtection="1">
      <alignment horizontal="center"/>
      <protection locked="0"/>
    </xf>
    <xf numFmtId="44" fontId="3" fillId="0" borderId="11" xfId="700" applyFont="1" applyBorder="1" applyAlignment="1" applyProtection="1">
      <alignment horizontal="center"/>
      <protection hidden="1"/>
    </xf>
    <xf numFmtId="44" fontId="3" fillId="49" borderId="11" xfId="700" applyFont="1" applyFill="1" applyBorder="1" applyAlignment="1" applyProtection="1">
      <alignment horizontal="center"/>
      <protection hidden="1"/>
    </xf>
    <xf numFmtId="44" fontId="3" fillId="44" borderId="11" xfId="700" applyFont="1" applyFill="1" applyBorder="1" applyAlignment="1" applyProtection="1">
      <alignment horizontal="center"/>
      <protection hidden="1"/>
    </xf>
    <xf numFmtId="168" fontId="147" fillId="49" borderId="11" xfId="8727" applyNumberFormat="1" applyFont="1" applyFill="1" applyBorder="1" applyAlignment="1">
      <alignment horizontal="center"/>
    </xf>
    <xf numFmtId="0" fontId="145" fillId="44" borderId="11" xfId="8726" applyFont="1" applyFill="1" applyBorder="1" applyAlignment="1">
      <alignment horizontal="left"/>
    </xf>
    <xf numFmtId="0" fontId="3" fillId="48" borderId="3" xfId="8726" applyFill="1" applyBorder="1" applyAlignment="1">
      <alignment horizontal="center"/>
    </xf>
    <xf numFmtId="0" fontId="3" fillId="48" borderId="4" xfId="8726" applyFill="1" applyBorder="1" applyAlignment="1">
      <alignment horizontal="center"/>
    </xf>
    <xf numFmtId="0" fontId="3" fillId="48" borderId="5" xfId="8726" applyFill="1" applyBorder="1" applyAlignment="1">
      <alignment horizontal="center"/>
    </xf>
    <xf numFmtId="0" fontId="162" fillId="48" borderId="3" xfId="8726" applyFont="1" applyFill="1" applyBorder="1" applyAlignment="1">
      <alignment horizontal="center"/>
    </xf>
    <xf numFmtId="0" fontId="162" fillId="48" borderId="4" xfId="8726" applyFont="1" applyFill="1" applyBorder="1" applyAlignment="1">
      <alignment horizontal="center"/>
    </xf>
    <xf numFmtId="0" fontId="162" fillId="48" borderId="5" xfId="8726" applyFont="1" applyFill="1" applyBorder="1" applyAlignment="1">
      <alignment horizontal="center"/>
    </xf>
    <xf numFmtId="43" fontId="147" fillId="53" borderId="11" xfId="698" applyFont="1" applyFill="1" applyBorder="1" applyAlignment="1" applyProtection="1">
      <alignment horizontal="left" wrapText="1"/>
      <protection hidden="1"/>
    </xf>
    <xf numFmtId="0" fontId="162" fillId="45" borderId="11" xfId="8726" applyFont="1" applyFill="1" applyBorder="1" applyAlignment="1">
      <alignment horizontal="left"/>
    </xf>
    <xf numFmtId="0" fontId="172" fillId="45" borderId="11" xfId="8726" applyFont="1" applyFill="1" applyBorder="1" applyAlignment="1">
      <alignment horizontal="left" wrapText="1"/>
    </xf>
    <xf numFmtId="0" fontId="149" fillId="45" borderId="13" xfId="0" applyFont="1" applyFill="1" applyBorder="1" applyAlignment="1" applyProtection="1">
      <alignment horizontal="left" wrapText="1"/>
      <protection hidden="1"/>
    </xf>
    <xf numFmtId="0" fontId="149" fillId="45" borderId="13" xfId="0" applyFont="1" applyFill="1" applyBorder="1" applyAlignment="1" applyProtection="1">
      <alignment horizontal="center" wrapText="1"/>
      <protection hidden="1"/>
    </xf>
    <xf numFmtId="182" fontId="3" fillId="0" borderId="13" xfId="8726" applyNumberFormat="1" applyBorder="1" applyAlignment="1">
      <alignment horizontal="center"/>
    </xf>
    <xf numFmtId="0" fontId="3" fillId="0" borderId="13" xfId="8726" applyBorder="1" applyAlignment="1">
      <alignment horizontal="center"/>
    </xf>
    <xf numFmtId="0" fontId="148" fillId="45" borderId="11" xfId="8726" applyFont="1" applyFill="1" applyBorder="1" applyAlignment="1">
      <alignment horizontal="center" wrapText="1"/>
    </xf>
    <xf numFmtId="0" fontId="149" fillId="45" borderId="11" xfId="8726" applyFont="1" applyFill="1" applyBorder="1" applyAlignment="1">
      <alignment horizontal="center"/>
    </xf>
    <xf numFmtId="0" fontId="149" fillId="45" borderId="91" xfId="8726" applyFont="1" applyFill="1" applyBorder="1" applyAlignment="1">
      <alignment horizontal="center"/>
    </xf>
    <xf numFmtId="0" fontId="148" fillId="45" borderId="80" xfId="8726" applyFont="1" applyFill="1" applyBorder="1" applyAlignment="1">
      <alignment horizontal="center"/>
    </xf>
    <xf numFmtId="0" fontId="148" fillId="45" borderId="11" xfId="8726" applyFont="1" applyFill="1" applyBorder="1" applyAlignment="1">
      <alignment horizontal="center"/>
    </xf>
    <xf numFmtId="0" fontId="3" fillId="49" borderId="11" xfId="8726" applyFill="1" applyBorder="1" applyAlignment="1" applyProtection="1">
      <alignment horizontal="center"/>
      <protection locked="0"/>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01" fillId="45" borderId="70" xfId="8726" applyFont="1" applyFill="1" applyBorder="1" applyAlignment="1">
      <alignment horizontal="center" wrapText="1"/>
    </xf>
    <xf numFmtId="0" fontId="101" fillId="45" borderId="71" xfId="8726" applyFont="1" applyFill="1" applyBorder="1" applyAlignment="1">
      <alignment horizontal="center" wrapText="1"/>
    </xf>
    <xf numFmtId="0" fontId="101" fillId="45" borderId="74" xfId="8726" applyFont="1" applyFill="1" applyBorder="1" applyAlignment="1">
      <alignment horizontal="center" wrapText="1"/>
    </xf>
    <xf numFmtId="0" fontId="3" fillId="49" borderId="91" xfId="8726" applyFill="1" applyBorder="1" applyAlignment="1" applyProtection="1">
      <alignment horizontal="center"/>
      <protection locked="0"/>
    </xf>
    <xf numFmtId="0" fontId="101" fillId="45" borderId="104" xfId="8726" applyFont="1" applyFill="1" applyBorder="1" applyAlignment="1">
      <alignment horizontal="center"/>
    </xf>
    <xf numFmtId="0" fontId="101" fillId="45" borderId="97" xfId="8726" applyFont="1" applyFill="1" applyBorder="1" applyAlignment="1">
      <alignment horizontal="center"/>
    </xf>
    <xf numFmtId="0" fontId="101" fillId="45" borderId="98" xfId="8726" applyFont="1" applyFill="1" applyBorder="1" applyAlignment="1">
      <alignment horizontal="center"/>
    </xf>
    <xf numFmtId="43" fontId="145" fillId="56" borderId="13" xfId="698" applyFont="1" applyFill="1" applyBorder="1" applyAlignment="1" applyProtection="1">
      <alignment horizontal="center"/>
      <protection hidden="1"/>
    </xf>
    <xf numFmtId="43" fontId="147" fillId="53" borderId="11" xfId="698" applyFont="1" applyFill="1" applyBorder="1" applyAlignment="1" applyProtection="1">
      <alignment horizontal="left"/>
      <protection hidden="1"/>
    </xf>
    <xf numFmtId="0" fontId="162" fillId="49" borderId="80" xfId="8726" applyFont="1" applyFill="1" applyBorder="1" applyAlignment="1">
      <alignment horizontal="left" vertical="top"/>
    </xf>
    <xf numFmtId="0" fontId="162" fillId="49" borderId="11" xfId="8726" applyFont="1" applyFill="1" applyBorder="1" applyAlignment="1">
      <alignment horizontal="left" vertical="top"/>
    </xf>
    <xf numFmtId="0" fontId="162" fillId="49" borderId="91" xfId="8726" applyFont="1" applyFill="1" applyBorder="1" applyAlignment="1">
      <alignment horizontal="left" vertical="top"/>
    </xf>
    <xf numFmtId="0" fontId="162" fillId="49" borderId="72" xfId="8726" applyFont="1" applyFill="1" applyBorder="1" applyAlignment="1">
      <alignment horizontal="left" vertical="top"/>
    </xf>
    <xf numFmtId="0" fontId="162" fillId="49" borderId="73" xfId="8726" applyFont="1" applyFill="1" applyBorder="1" applyAlignment="1">
      <alignment horizontal="left" vertical="top"/>
    </xf>
    <xf numFmtId="0" fontId="162" fillId="49" borderId="93" xfId="8726" applyFont="1" applyFill="1" applyBorder="1" applyAlignment="1">
      <alignment horizontal="left" vertical="top"/>
    </xf>
    <xf numFmtId="0" fontId="148" fillId="45" borderId="72" xfId="8726" applyFont="1" applyFill="1" applyBorder="1" applyAlignment="1">
      <alignment horizontal="center"/>
    </xf>
    <xf numFmtId="0" fontId="148" fillId="45" borderId="73" xfId="8726" applyFont="1" applyFill="1" applyBorder="1" applyAlignment="1">
      <alignment horizontal="center"/>
    </xf>
    <xf numFmtId="0" fontId="3" fillId="49" borderId="73" xfId="8726" applyFill="1" applyBorder="1" applyAlignment="1" applyProtection="1">
      <alignment horizontal="center"/>
      <protection locked="0"/>
    </xf>
    <xf numFmtId="0" fontId="3" fillId="49" borderId="93" xfId="8726" applyFill="1" applyBorder="1" applyAlignment="1" applyProtection="1">
      <alignment horizontal="center"/>
      <protection locked="0"/>
    </xf>
    <xf numFmtId="1" fontId="147" fillId="49" borderId="11" xfId="8726" applyNumberFormat="1" applyFont="1" applyFill="1" applyBorder="1" applyAlignment="1" applyProtection="1">
      <alignment horizontal="center"/>
      <protection locked="0"/>
    </xf>
    <xf numFmtId="0" fontId="144" fillId="47" borderId="65" xfId="8726" applyFont="1" applyFill="1" applyBorder="1" applyAlignment="1">
      <alignment horizontal="center"/>
    </xf>
    <xf numFmtId="0" fontId="144" fillId="47" borderId="29" xfId="8726" applyFont="1" applyFill="1" applyBorder="1" applyAlignment="1">
      <alignment horizontal="center"/>
    </xf>
    <xf numFmtId="0" fontId="144" fillId="47" borderId="31" xfId="8726" applyFont="1" applyFill="1" applyBorder="1" applyAlignment="1">
      <alignment horizontal="center"/>
    </xf>
    <xf numFmtId="0" fontId="145" fillId="49" borderId="66" xfId="8726" applyFont="1" applyFill="1" applyBorder="1" applyAlignment="1">
      <alignment horizontal="center"/>
    </xf>
    <xf numFmtId="0" fontId="145" fillId="49" borderId="0" xfId="8726" applyFont="1" applyFill="1" applyAlignment="1">
      <alignment horizontal="center"/>
    </xf>
    <xf numFmtId="0" fontId="145" fillId="49" borderId="41" xfId="8726" applyFont="1" applyFill="1" applyBorder="1" applyAlignment="1">
      <alignment horizontal="center"/>
    </xf>
    <xf numFmtId="0" fontId="147" fillId="44" borderId="67" xfId="8726" applyFont="1" applyFill="1" applyBorder="1" applyAlignment="1">
      <alignment horizontal="left"/>
    </xf>
    <xf numFmtId="0" fontId="147" fillId="44" borderId="68" xfId="8726" applyFont="1" applyFill="1" applyBorder="1" applyAlignment="1">
      <alignment horizontal="left"/>
    </xf>
    <xf numFmtId="0" fontId="147" fillId="44" borderId="69" xfId="8726" applyFont="1" applyFill="1" applyBorder="1" applyAlignment="1">
      <alignment horizontal="left"/>
    </xf>
    <xf numFmtId="0" fontId="160" fillId="45" borderId="11" xfId="8726" applyFont="1" applyFill="1" applyBorder="1" applyAlignment="1">
      <alignment horizontal="right"/>
    </xf>
    <xf numFmtId="14" fontId="147"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center"/>
      <protection locked="0"/>
    </xf>
    <xf numFmtId="0" fontId="146" fillId="45" borderId="11" xfId="8726" applyFont="1" applyFill="1" applyBorder="1" applyAlignment="1">
      <alignment horizontal="right"/>
    </xf>
    <xf numFmtId="0" fontId="3" fillId="44" borderId="67" xfId="8726" applyFill="1" applyBorder="1" applyAlignment="1">
      <alignment horizontal="center"/>
    </xf>
    <xf numFmtId="0" fontId="3" fillId="44" borderId="68" xfId="8726" applyFill="1" applyBorder="1" applyAlignment="1">
      <alignment horizontal="center"/>
    </xf>
    <xf numFmtId="0" fontId="3" fillId="44" borderId="69" xfId="8726" applyFill="1" applyBorder="1" applyAlignment="1">
      <alignment horizontal="center"/>
    </xf>
    <xf numFmtId="0" fontId="101" fillId="45" borderId="70" xfId="8726" applyFont="1" applyFill="1" applyBorder="1" applyAlignment="1">
      <alignment horizontal="left" wrapText="1"/>
    </xf>
    <xf numFmtId="0" fontId="101" fillId="45" borderId="71" xfId="8726" applyFont="1" applyFill="1" applyBorder="1" applyAlignment="1">
      <alignment horizontal="left" wrapText="1"/>
    </xf>
    <xf numFmtId="0" fontId="101" fillId="45" borderId="80" xfId="8726" applyFont="1" applyFill="1" applyBorder="1" applyAlignment="1">
      <alignment horizontal="left" wrapText="1"/>
    </xf>
    <xf numFmtId="0" fontId="101" fillId="45" borderId="11" xfId="8726" applyFont="1" applyFill="1" applyBorder="1" applyAlignment="1">
      <alignment horizontal="left" wrapText="1"/>
    </xf>
    <xf numFmtId="0" fontId="147" fillId="49" borderId="71" xfId="8726" applyFont="1" applyFill="1" applyBorder="1" applyAlignment="1" applyProtection="1">
      <alignment horizontal="left" wrapText="1"/>
      <protection locked="0"/>
    </xf>
    <xf numFmtId="0" fontId="147" fillId="49" borderId="74" xfId="8726" applyFont="1" applyFill="1" applyBorder="1" applyAlignment="1" applyProtection="1">
      <alignment horizontal="left" wrapText="1"/>
      <protection locked="0"/>
    </xf>
    <xf numFmtId="0" fontId="147" fillId="49" borderId="11" xfId="8726" applyFont="1" applyFill="1" applyBorder="1" applyAlignment="1" applyProtection="1">
      <alignment horizontal="left" wrapText="1"/>
      <protection locked="0"/>
    </xf>
    <xf numFmtId="0" fontId="147" fillId="49" borderId="91" xfId="8726" applyFont="1" applyFill="1" applyBorder="1" applyAlignment="1" applyProtection="1">
      <alignment horizontal="left" wrapText="1"/>
      <protection locked="0"/>
    </xf>
    <xf numFmtId="168" fontId="164" fillId="44" borderId="11" xfId="8727" applyNumberFormat="1" applyFont="1" applyFill="1" applyBorder="1" applyAlignment="1" applyProtection="1">
      <alignment horizontal="left"/>
    </xf>
    <xf numFmtId="0" fontId="148" fillId="45" borderId="11" xfId="8726" applyFont="1" applyFill="1" applyBorder="1" applyAlignment="1">
      <alignment horizontal="right"/>
    </xf>
    <xf numFmtId="1" fontId="3" fillId="44" borderId="11" xfId="8726" applyNumberFormat="1" applyFill="1" applyBorder="1" applyAlignment="1">
      <alignment horizontal="center"/>
    </xf>
    <xf numFmtId="0" fontId="3" fillId="44" borderId="11" xfId="8726" applyFill="1" applyBorder="1" applyAlignment="1">
      <alignment horizontal="center"/>
    </xf>
    <xf numFmtId="0" fontId="146" fillId="45" borderId="11" xfId="8726" applyFont="1" applyFill="1" applyBorder="1" applyAlignment="1">
      <alignment horizontal="right" wrapText="1"/>
    </xf>
    <xf numFmtId="14" fontId="147" fillId="49" borderId="11" xfId="8726" applyNumberFormat="1" applyFont="1" applyFill="1" applyBorder="1" applyAlignment="1" applyProtection="1">
      <alignment horizontal="center" vertical="center"/>
      <protection locked="0"/>
    </xf>
    <xf numFmtId="0" fontId="147" fillId="49" borderId="11" xfId="8726" applyFont="1" applyFill="1" applyBorder="1" applyAlignment="1" applyProtection="1">
      <alignment horizontal="center" vertical="center"/>
      <protection locked="0"/>
    </xf>
    <xf numFmtId="0" fontId="101" fillId="45" borderId="67" xfId="8726" applyFont="1" applyFill="1" applyBorder="1" applyAlignment="1">
      <alignment horizontal="center"/>
    </xf>
    <xf numFmtId="0" fontId="101" fillId="45" borderId="68" xfId="8726" applyFont="1" applyFill="1" applyBorder="1" applyAlignment="1">
      <alignment horizontal="center"/>
    </xf>
    <xf numFmtId="0" fontId="101" fillId="45" borderId="69" xfId="8726" applyFont="1" applyFill="1" applyBorder="1" applyAlignment="1">
      <alignment horizontal="center"/>
    </xf>
    <xf numFmtId="0" fontId="147" fillId="49" borderId="67" xfId="8726" applyFont="1" applyFill="1" applyBorder="1" applyAlignment="1" applyProtection="1">
      <alignment horizontal="center"/>
      <protection locked="0"/>
    </xf>
    <xf numFmtId="0" fontId="147" fillId="49" borderId="68" xfId="8726" applyFont="1" applyFill="1" applyBorder="1" applyAlignment="1" applyProtection="1">
      <alignment horizontal="center"/>
      <protection locked="0"/>
    </xf>
    <xf numFmtId="0" fontId="147" fillId="49" borderId="69" xfId="8726" applyFont="1" applyFill="1" applyBorder="1" applyAlignment="1" applyProtection="1">
      <alignment horizontal="center"/>
      <protection locked="0"/>
    </xf>
    <xf numFmtId="0" fontId="101" fillId="45" borderId="67" xfId="8726" applyFont="1" applyFill="1" applyBorder="1" applyAlignment="1">
      <alignment horizontal="right"/>
    </xf>
    <xf numFmtId="0" fontId="101" fillId="45" borderId="68" xfId="8726" applyFont="1" applyFill="1" applyBorder="1" applyAlignment="1">
      <alignment horizontal="right"/>
    </xf>
    <xf numFmtId="0" fontId="101" fillId="45" borderId="99" xfId="8726" applyFont="1" applyFill="1" applyBorder="1" applyAlignment="1">
      <alignment horizontal="right"/>
    </xf>
    <xf numFmtId="0" fontId="3" fillId="44" borderId="97" xfId="8726" applyFill="1" applyBorder="1" applyAlignment="1">
      <alignment horizontal="center"/>
    </xf>
    <xf numFmtId="0" fontId="3" fillId="44" borderId="98" xfId="8726" applyFill="1" applyBorder="1" applyAlignment="1">
      <alignment horizontal="center"/>
    </xf>
    <xf numFmtId="0" fontId="145" fillId="45" borderId="75" xfId="8726" applyFont="1" applyFill="1" applyBorder="1" applyAlignment="1">
      <alignment horizontal="center"/>
    </xf>
    <xf numFmtId="0" fontId="145" fillId="45" borderId="76" xfId="8726" applyFont="1" applyFill="1" applyBorder="1" applyAlignment="1">
      <alignment horizontal="center"/>
    </xf>
    <xf numFmtId="0" fontId="145" fillId="45" borderId="77" xfId="8726" applyFont="1" applyFill="1" applyBorder="1" applyAlignment="1">
      <alignment horizontal="center"/>
    </xf>
    <xf numFmtId="0" fontId="148" fillId="45" borderId="78" xfId="8726" applyFont="1" applyFill="1" applyBorder="1" applyAlignment="1">
      <alignment horizontal="center"/>
    </xf>
    <xf numFmtId="0" fontId="148" fillId="45" borderId="2" xfId="8726" applyFont="1" applyFill="1" applyBorder="1" applyAlignment="1">
      <alignment horizontal="center"/>
    </xf>
    <xf numFmtId="0" fontId="148" fillId="45" borderId="7" xfId="8726" applyFont="1" applyFill="1" applyBorder="1" applyAlignment="1">
      <alignment horizontal="center"/>
    </xf>
    <xf numFmtId="0" fontId="148" fillId="45" borderId="3" xfId="8726" applyFont="1" applyFill="1" applyBorder="1" applyAlignment="1">
      <alignment horizontal="center"/>
    </xf>
    <xf numFmtId="0" fontId="148" fillId="45" borderId="4" xfId="8726" applyFont="1" applyFill="1" applyBorder="1" applyAlignment="1">
      <alignment horizontal="center"/>
    </xf>
    <xf numFmtId="0" fontId="148" fillId="45" borderId="5" xfId="8726" applyFont="1" applyFill="1" applyBorder="1" applyAlignment="1">
      <alignment horizontal="center"/>
    </xf>
    <xf numFmtId="0" fontId="148" fillId="45" borderId="79" xfId="8726" applyFont="1" applyFill="1" applyBorder="1" applyAlignment="1">
      <alignment horizontal="center"/>
    </xf>
    <xf numFmtId="9" fontId="162" fillId="49" borderId="92" xfId="8726" applyNumberFormat="1" applyFont="1" applyFill="1" applyBorder="1" applyAlignment="1">
      <alignment horizontal="center"/>
    </xf>
    <xf numFmtId="9" fontId="162" fillId="49" borderId="4" xfId="8726" applyNumberFormat="1" applyFont="1" applyFill="1" applyBorder="1" applyAlignment="1">
      <alignment horizontal="center"/>
    </xf>
    <xf numFmtId="9" fontId="162" fillId="49" borderId="5" xfId="8726" applyNumberFormat="1" applyFont="1" applyFill="1" applyBorder="1" applyAlignment="1">
      <alignment horizontal="center"/>
    </xf>
    <xf numFmtId="0" fontId="162" fillId="44" borderId="3" xfId="8726" applyFont="1" applyFill="1" applyBorder="1" applyAlignment="1">
      <alignment horizontal="center"/>
    </xf>
    <xf numFmtId="0" fontId="162" fillId="44" borderId="4" xfId="8726" applyFont="1" applyFill="1" applyBorder="1" applyAlignment="1">
      <alignment horizontal="center"/>
    </xf>
    <xf numFmtId="0" fontId="162" fillId="44" borderId="5" xfId="8726" applyFont="1" applyFill="1" applyBorder="1" applyAlignment="1">
      <alignment horizontal="center"/>
    </xf>
    <xf numFmtId="9" fontId="148" fillId="44" borderId="3" xfId="8726" applyNumberFormat="1" applyFont="1" applyFill="1" applyBorder="1" applyAlignment="1">
      <alignment horizontal="center"/>
    </xf>
    <xf numFmtId="9" fontId="148" fillId="44" borderId="4" xfId="8726" applyNumberFormat="1" applyFont="1" applyFill="1" applyBorder="1" applyAlignment="1">
      <alignment horizontal="center"/>
    </xf>
    <xf numFmtId="9" fontId="148" fillId="44" borderId="79" xfId="8726" applyNumberFormat="1" applyFont="1" applyFill="1" applyBorder="1" applyAlignment="1">
      <alignment horizontal="center"/>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0" fontId="149" fillId="44" borderId="9" xfId="8726" applyFont="1" applyFill="1" applyBorder="1" applyAlignment="1">
      <alignment horizontal="center"/>
    </xf>
    <xf numFmtId="0" fontId="149" fillId="44" borderId="6" xfId="8726" applyFont="1" applyFill="1" applyBorder="1" applyAlignment="1">
      <alignment horizontal="center"/>
    </xf>
    <xf numFmtId="0" fontId="149" fillId="44" borderId="10" xfId="8726" applyFont="1" applyFill="1" applyBorder="1" applyAlignment="1">
      <alignment horizontal="center"/>
    </xf>
    <xf numFmtId="0" fontId="149" fillId="44" borderId="103" xfId="8726" applyFont="1" applyFill="1" applyBorder="1" applyAlignment="1">
      <alignment horizontal="center"/>
    </xf>
    <xf numFmtId="0" fontId="148" fillId="44" borderId="81" xfId="8726" applyFont="1" applyFill="1" applyBorder="1" applyAlignment="1">
      <alignment horizontal="center"/>
    </xf>
    <xf numFmtId="0" fontId="148" fillId="44" borderId="82" xfId="8726" applyFont="1" applyFill="1" applyBorder="1" applyAlignment="1">
      <alignment horizontal="center"/>
    </xf>
    <xf numFmtId="0" fontId="148" fillId="44" borderId="83" xfId="8726" applyFont="1" applyFill="1" applyBorder="1" applyAlignment="1">
      <alignment horizontal="center"/>
    </xf>
    <xf numFmtId="0" fontId="162" fillId="44" borderId="84" xfId="8726" applyFont="1" applyFill="1" applyBorder="1" applyAlignment="1">
      <alignment horizontal="center"/>
    </xf>
    <xf numFmtId="0" fontId="162" fillId="44" borderId="82" xfId="8726" applyFont="1" applyFill="1" applyBorder="1" applyAlignment="1">
      <alignment horizontal="center"/>
    </xf>
    <xf numFmtId="0" fontId="162" fillId="44" borderId="83" xfId="8726" applyFont="1" applyFill="1" applyBorder="1" applyAlignment="1">
      <alignment horizontal="center"/>
    </xf>
    <xf numFmtId="9" fontId="148" fillId="44" borderId="84" xfId="8726" applyNumberFormat="1" applyFont="1" applyFill="1" applyBorder="1" applyAlignment="1">
      <alignment horizontal="center"/>
    </xf>
    <xf numFmtId="9" fontId="148" fillId="44" borderId="82" xfId="8726" applyNumberFormat="1" applyFont="1" applyFill="1" applyBorder="1" applyAlignment="1">
      <alignment horizontal="center"/>
    </xf>
    <xf numFmtId="9" fontId="148" fillId="44" borderId="85" xfId="8726" applyNumberFormat="1" applyFont="1" applyFill="1" applyBorder="1" applyAlignment="1">
      <alignment horizontal="center"/>
    </xf>
    <xf numFmtId="0" fontId="148" fillId="45" borderId="13"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11" xfId="8726" applyFont="1" applyFill="1" applyBorder="1" applyAlignment="1">
      <alignment horizontal="center" vertical="center"/>
    </xf>
    <xf numFmtId="0" fontId="148" fillId="45" borderId="9" xfId="8726" applyFont="1" applyFill="1" applyBorder="1" applyAlignment="1">
      <alignment horizontal="center" vertical="center"/>
    </xf>
    <xf numFmtId="0" fontId="148" fillId="45" borderId="3" xfId="8726" applyFont="1" applyFill="1" applyBorder="1" applyAlignment="1">
      <alignment horizontal="center" vertical="center"/>
    </xf>
    <xf numFmtId="9" fontId="148" fillId="49" borderId="13" xfId="8726" applyNumberFormat="1" applyFont="1" applyFill="1" applyBorder="1" applyAlignment="1" applyProtection="1">
      <alignment horizontal="center"/>
      <protection locked="0"/>
    </xf>
    <xf numFmtId="0" fontId="148" fillId="44" borderId="86" xfId="8726" applyFont="1" applyFill="1" applyBorder="1" applyAlignment="1">
      <alignment horizontal="center"/>
    </xf>
    <xf numFmtId="0" fontId="148" fillId="44" borderId="42" xfId="8726" applyFont="1" applyFill="1" applyBorder="1" applyAlignment="1">
      <alignment horizontal="center"/>
    </xf>
    <xf numFmtId="0" fontId="148" fillId="44" borderId="87" xfId="8726" applyFont="1" applyFill="1" applyBorder="1" applyAlignment="1">
      <alignment horizontal="center"/>
    </xf>
    <xf numFmtId="0" fontId="148" fillId="44" borderId="88" xfId="8726" applyFont="1" applyFill="1" applyBorder="1" applyAlignment="1">
      <alignment horizontal="center"/>
    </xf>
    <xf numFmtId="0" fontId="164" fillId="49" borderId="80" xfId="8726" applyFont="1" applyFill="1" applyBorder="1" applyAlignment="1" applyProtection="1">
      <alignment horizontal="right"/>
      <protection locked="0"/>
    </xf>
    <xf numFmtId="0" fontId="164" fillId="49" borderId="11" xfId="8726" applyFont="1" applyFill="1" applyBorder="1" applyAlignment="1" applyProtection="1">
      <alignment horizontal="right"/>
      <protection locked="0"/>
    </xf>
    <xf numFmtId="0" fontId="163" fillId="49" borderId="11" xfId="8726"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0" fontId="145" fillId="45" borderId="67" xfId="8726" applyFont="1" applyFill="1" applyBorder="1" applyAlignment="1">
      <alignment horizontal="center"/>
    </xf>
    <xf numFmtId="0" fontId="145" fillId="45" borderId="68" xfId="8726" applyFont="1" applyFill="1" applyBorder="1" applyAlignment="1">
      <alignment horizontal="center"/>
    </xf>
    <xf numFmtId="0" fontId="145" fillId="45" borderId="69" xfId="8726" applyFont="1" applyFill="1" applyBorder="1" applyAlignment="1">
      <alignment horizontal="center"/>
    </xf>
    <xf numFmtId="0" fontId="149" fillId="45" borderId="65" xfId="8726" applyFont="1" applyFill="1" applyBorder="1" applyAlignment="1">
      <alignment horizontal="center" vertical="center" wrapText="1"/>
    </xf>
    <xf numFmtId="0" fontId="149" fillId="45" borderId="29" xfId="8726" applyFont="1" applyFill="1" applyBorder="1" applyAlignment="1">
      <alignment horizontal="center" vertical="center" wrapText="1"/>
    </xf>
    <xf numFmtId="0" fontId="149" fillId="45" borderId="31" xfId="8726" applyFont="1" applyFill="1" applyBorder="1" applyAlignment="1">
      <alignment horizontal="center" vertical="center" wrapText="1"/>
    </xf>
    <xf numFmtId="0" fontId="149" fillId="45" borderId="86" xfId="8726" applyFont="1" applyFill="1" applyBorder="1" applyAlignment="1">
      <alignment horizontal="center" vertical="center" wrapText="1"/>
    </xf>
    <xf numFmtId="0" fontId="149" fillId="45" borderId="42" xfId="8726" applyFont="1" applyFill="1" applyBorder="1" applyAlignment="1">
      <alignment horizontal="center" vertical="center" wrapText="1"/>
    </xf>
    <xf numFmtId="0" fontId="149" fillId="45" borderId="44" xfId="8726" applyFont="1" applyFill="1" applyBorder="1" applyAlignment="1">
      <alignment horizontal="center" vertical="center" wrapText="1"/>
    </xf>
    <xf numFmtId="0" fontId="149" fillId="45" borderId="67" xfId="8726" applyFont="1" applyFill="1" applyBorder="1" applyAlignment="1">
      <alignment horizontal="center"/>
    </xf>
    <xf numFmtId="0" fontId="149" fillId="45" borderId="68" xfId="8726" applyFont="1" applyFill="1" applyBorder="1" applyAlignment="1">
      <alignment horizontal="center"/>
    </xf>
    <xf numFmtId="0" fontId="149" fillId="45" borderId="69" xfId="8726" applyFont="1" applyFill="1" applyBorder="1" applyAlignment="1">
      <alignment horizontal="center"/>
    </xf>
    <xf numFmtId="9" fontId="148" fillId="44" borderId="88"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149" fillId="45" borderId="95"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80" xfId="8726" applyFont="1" applyFill="1" applyBorder="1" applyAlignment="1">
      <alignment horizontal="center" vertical="center"/>
    </xf>
    <xf numFmtId="0" fontId="149" fillId="45" borderId="11" xfId="8726" applyFont="1" applyFill="1" applyBorder="1" applyAlignment="1">
      <alignment horizontal="center" vertical="center"/>
    </xf>
    <xf numFmtId="1" fontId="163" fillId="49" borderId="3" xfId="8726" applyNumberFormat="1" applyFont="1" applyFill="1" applyBorder="1" applyAlignment="1" applyProtection="1">
      <alignment horizontal="center"/>
      <protection locked="0"/>
    </xf>
    <xf numFmtId="1" fontId="163" fillId="49" borderId="4" xfId="8726" applyNumberFormat="1" applyFont="1" applyFill="1" applyBorder="1" applyAlignment="1" applyProtection="1">
      <alignment horizontal="center"/>
      <protection locked="0"/>
    </xf>
    <xf numFmtId="1" fontId="163" fillId="49" borderId="5" xfId="8726" applyNumberFormat="1" applyFont="1" applyFill="1" applyBorder="1" applyAlignment="1" applyProtection="1">
      <alignment horizontal="center"/>
      <protection locked="0"/>
    </xf>
    <xf numFmtId="1" fontId="149" fillId="44" borderId="3" xfId="8726" applyNumberFormat="1" applyFont="1" applyFill="1" applyBorder="1" applyAlignment="1">
      <alignment horizontal="center"/>
    </xf>
    <xf numFmtId="1" fontId="149" fillId="44" borderId="4" xfId="8726" applyNumberFormat="1" applyFont="1" applyFill="1" applyBorder="1" applyAlignment="1">
      <alignment horizontal="center"/>
    </xf>
    <xf numFmtId="1" fontId="149" fillId="44" borderId="5" xfId="8726" applyNumberFormat="1" applyFont="1" applyFill="1" applyBorder="1" applyAlignment="1">
      <alignment horizontal="center"/>
    </xf>
    <xf numFmtId="9" fontId="149" fillId="44" borderId="3" xfId="8728" applyFont="1" applyFill="1" applyBorder="1" applyAlignment="1">
      <alignment horizontal="center"/>
    </xf>
    <xf numFmtId="9" fontId="149" fillId="44" borderId="4" xfId="8728" applyFont="1" applyFill="1" applyBorder="1" applyAlignment="1">
      <alignment horizontal="center"/>
    </xf>
    <xf numFmtId="9" fontId="149" fillId="44" borderId="79" xfId="8728"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1" fontId="163" fillId="49" borderId="84" xfId="8726" applyNumberFormat="1" applyFont="1" applyFill="1" applyBorder="1" applyAlignment="1" applyProtection="1">
      <alignment horizontal="center"/>
      <protection locked="0"/>
    </xf>
    <xf numFmtId="1" fontId="163" fillId="49" borderId="82" xfId="8726" applyNumberFormat="1" applyFont="1" applyFill="1" applyBorder="1" applyAlignment="1" applyProtection="1">
      <alignment horizontal="center"/>
      <protection locked="0"/>
    </xf>
    <xf numFmtId="1" fontId="163" fillId="49" borderId="83" xfId="8726" applyNumberFormat="1" applyFont="1" applyFill="1" applyBorder="1" applyAlignment="1" applyProtection="1">
      <alignment horizontal="center"/>
      <protection locked="0"/>
    </xf>
    <xf numFmtId="9" fontId="149" fillId="44" borderId="84" xfId="8728" applyFont="1" applyFill="1" applyBorder="1" applyAlignment="1">
      <alignment horizontal="center"/>
    </xf>
    <xf numFmtId="9" fontId="149" fillId="44" borderId="82" xfId="8728" applyFont="1" applyFill="1" applyBorder="1" applyAlignment="1">
      <alignment horizontal="center"/>
    </xf>
    <xf numFmtId="9" fontId="149" fillId="44" borderId="85" xfId="8728" applyFont="1" applyFill="1" applyBorder="1" applyAlignment="1">
      <alignment horizontal="center"/>
    </xf>
    <xf numFmtId="0" fontId="145" fillId="45" borderId="70" xfId="8726" applyFont="1" applyFill="1" applyBorder="1" applyAlignment="1">
      <alignment horizontal="center"/>
    </xf>
    <xf numFmtId="0" fontId="145" fillId="45" borderId="71" xfId="8726" applyFont="1" applyFill="1" applyBorder="1" applyAlignment="1">
      <alignment horizontal="center"/>
    </xf>
    <xf numFmtId="0" fontId="145" fillId="45" borderId="74" xfId="8726" applyFont="1" applyFill="1" applyBorder="1" applyAlignment="1">
      <alignment horizontal="center"/>
    </xf>
    <xf numFmtId="0" fontId="149" fillId="45" borderId="11" xfId="8726" applyFont="1" applyFill="1" applyBorder="1" applyAlignment="1">
      <alignment horizontal="center" vertical="center" wrapText="1"/>
    </xf>
    <xf numFmtId="0" fontId="149" fillId="45" borderId="91" xfId="8726" applyFont="1" applyFill="1" applyBorder="1" applyAlignment="1">
      <alignment horizontal="center" vertical="center" wrapText="1"/>
    </xf>
    <xf numFmtId="1" fontId="163" fillId="49" borderId="73" xfId="8726" applyNumberFormat="1" applyFont="1" applyFill="1" applyBorder="1" applyAlignment="1" applyProtection="1">
      <alignment horizontal="center"/>
      <protection locked="0"/>
    </xf>
    <xf numFmtId="0" fontId="162" fillId="49" borderId="72" xfId="8726" applyFont="1" applyFill="1" applyBorder="1" applyAlignment="1" applyProtection="1">
      <alignment horizontal="right"/>
      <protection locked="0"/>
    </xf>
    <xf numFmtId="0" fontId="162" fillId="49" borderId="73" xfId="8726" applyFont="1" applyFill="1" applyBorder="1" applyAlignment="1" applyProtection="1">
      <alignment horizontal="right"/>
      <protection locked="0"/>
    </xf>
    <xf numFmtId="0" fontId="163"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62" fillId="49" borderId="11" xfId="700" applyNumberFormat="1" applyFont="1" applyFill="1" applyBorder="1" applyAlignment="1" applyProtection="1">
      <alignment horizontal="left"/>
      <protection locked="0"/>
    </xf>
    <xf numFmtId="0" fontId="162" fillId="49" borderId="91" xfId="700" applyNumberFormat="1" applyFont="1" applyFill="1" applyBorder="1" applyAlignment="1" applyProtection="1">
      <alignment horizontal="left"/>
      <protection locked="0"/>
    </xf>
    <xf numFmtId="0" fontId="162" fillId="44" borderId="80" xfId="8726" applyFont="1" applyFill="1" applyBorder="1" applyAlignment="1" applyProtection="1">
      <alignment horizontal="right"/>
      <protection locked="0"/>
    </xf>
    <xf numFmtId="0" fontId="162" fillId="44" borderId="11" xfId="8726" applyFont="1" applyFill="1" applyBorder="1" applyAlignment="1" applyProtection="1">
      <alignment horizontal="right"/>
      <protection locked="0"/>
    </xf>
    <xf numFmtId="0" fontId="162" fillId="44" borderId="91" xfId="8726" applyFont="1" applyFill="1" applyBorder="1" applyAlignment="1" applyProtection="1">
      <alignment horizontal="right"/>
      <protection locked="0"/>
    </xf>
    <xf numFmtId="0" fontId="162" fillId="49" borderId="5" xfId="8726" applyFont="1" applyFill="1" applyBorder="1" applyAlignment="1" applyProtection="1">
      <alignment horizontal="left"/>
      <protection locked="0"/>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2" fillId="44" borderId="72" xfId="8726" applyFont="1" applyFill="1" applyBorder="1" applyAlignment="1" applyProtection="1">
      <alignment horizontal="right"/>
      <protection locked="0"/>
    </xf>
    <xf numFmtId="0" fontId="162" fillId="44" borderId="73" xfId="8726" applyFont="1" applyFill="1" applyBorder="1" applyAlignment="1" applyProtection="1">
      <alignment horizontal="right"/>
      <protection locked="0"/>
    </xf>
    <xf numFmtId="0" fontId="162" fillId="44" borderId="93" xfId="8726" applyFont="1" applyFill="1" applyBorder="1" applyAlignment="1" applyProtection="1">
      <alignment horizontal="right"/>
      <protection locked="0"/>
    </xf>
    <xf numFmtId="168" fontId="148" fillId="45" borderId="73" xfId="8727" applyNumberFormat="1" applyFont="1" applyFill="1" applyBorder="1" applyAlignment="1">
      <alignment horizontal="center"/>
    </xf>
    <xf numFmtId="1" fontId="148" fillId="45" borderId="73" xfId="8727" applyNumberFormat="1" applyFont="1" applyFill="1" applyBorder="1" applyAlignment="1">
      <alignment horizontal="center"/>
    </xf>
    <xf numFmtId="0" fontId="148" fillId="45" borderId="73" xfId="8727" applyNumberFormat="1" applyFont="1" applyFill="1" applyBorder="1" applyAlignment="1">
      <alignment horizontal="center"/>
    </xf>
    <xf numFmtId="0" fontId="148" fillId="45" borderId="93" xfId="8727" applyNumberFormat="1" applyFont="1" applyFill="1" applyBorder="1" applyAlignment="1">
      <alignment horizontal="center"/>
    </xf>
    <xf numFmtId="0" fontId="145" fillId="45" borderId="65" xfId="8726" applyFont="1" applyFill="1" applyBorder="1" applyAlignment="1">
      <alignment horizontal="center"/>
    </xf>
    <xf numFmtId="0" fontId="145" fillId="45" borderId="29" xfId="8726" applyFont="1" applyFill="1" applyBorder="1" applyAlignment="1">
      <alignment horizontal="center"/>
    </xf>
    <xf numFmtId="0" fontId="145" fillId="45" borderId="31" xfId="8726" applyFont="1" applyFill="1" applyBorder="1" applyAlignment="1">
      <alignment horizontal="center"/>
    </xf>
    <xf numFmtId="0" fontId="162" fillId="49" borderId="83" xfId="8726" applyFont="1" applyFill="1" applyBorder="1" applyAlignment="1" applyProtection="1">
      <alignment horizontal="left"/>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62" fillId="49" borderId="80" xfId="8726" applyFont="1" applyFill="1" applyBorder="1" applyAlignment="1" applyProtection="1">
      <alignment horizontal="center"/>
      <protection locked="0"/>
    </xf>
    <xf numFmtId="168" fontId="164" fillId="49" borderId="11" xfId="700" applyNumberFormat="1" applyFont="1" applyFill="1" applyBorder="1" applyAlignment="1" applyProtection="1">
      <alignment horizontal="left"/>
      <protection locked="0"/>
    </xf>
    <xf numFmtId="168" fontId="164" fillId="49" borderId="91" xfId="700" applyNumberFormat="1" applyFont="1" applyFill="1" applyBorder="1" applyAlignment="1" applyProtection="1">
      <alignment horizontal="left"/>
      <protection locked="0"/>
    </xf>
    <xf numFmtId="0" fontId="145" fillId="45" borderId="94" xfId="8726" applyFont="1" applyFill="1" applyBorder="1" applyAlignment="1">
      <alignment horizontal="right"/>
    </xf>
    <xf numFmtId="0" fontId="145" fillId="45" borderId="43" xfId="8726" applyFont="1" applyFill="1" applyBorder="1" applyAlignment="1">
      <alignment horizontal="right"/>
    </xf>
    <xf numFmtId="0" fontId="162" fillId="49" borderId="71" xfId="8726" applyFont="1" applyFill="1" applyBorder="1" applyAlignment="1" applyProtection="1">
      <alignment horizontal="left"/>
      <protection locked="0"/>
    </xf>
    <xf numFmtId="0" fontId="162" fillId="49" borderId="74" xfId="8726" applyFont="1" applyFill="1" applyBorder="1" applyAlignment="1" applyProtection="1">
      <alignment horizontal="left"/>
      <protection locked="0"/>
    </xf>
    <xf numFmtId="0" fontId="145" fillId="45" borderId="72" xfId="8726" applyFont="1" applyFill="1" applyBorder="1" applyAlignment="1">
      <alignment horizontal="center"/>
    </xf>
    <xf numFmtId="0" fontId="145" fillId="45" borderId="73" xfId="8726" applyFont="1" applyFill="1" applyBorder="1" applyAlignment="1">
      <alignment horizontal="center"/>
    </xf>
    <xf numFmtId="0" fontId="101" fillId="45" borderId="74" xfId="8726" applyFont="1" applyFill="1" applyBorder="1" applyAlignment="1">
      <alignment horizontal="left" wrapText="1"/>
    </xf>
    <xf numFmtId="0" fontId="101" fillId="45" borderId="91" xfId="8726" applyFont="1" applyFill="1" applyBorder="1" applyAlignment="1">
      <alignment horizontal="left" wrapText="1"/>
    </xf>
    <xf numFmtId="0" fontId="101" fillId="45" borderId="65" xfId="8726" applyFont="1" applyFill="1" applyBorder="1" applyAlignment="1">
      <alignment horizontal="center"/>
    </xf>
    <xf numFmtId="0" fontId="101" fillId="45" borderId="29" xfId="8726" applyFont="1" applyFill="1" applyBorder="1" applyAlignment="1">
      <alignment horizontal="center"/>
    </xf>
    <xf numFmtId="0" fontId="101" fillId="45" borderId="31" xfId="8726" applyFont="1" applyFill="1" applyBorder="1" applyAlignment="1">
      <alignment horizontal="center"/>
    </xf>
    <xf numFmtId="0" fontId="101" fillId="45" borderId="80" xfId="8726" applyFont="1" applyFill="1" applyBorder="1" applyAlignment="1">
      <alignment horizontal="center"/>
    </xf>
    <xf numFmtId="0" fontId="101" fillId="45" borderId="11" xfId="8726" applyFont="1" applyFill="1" applyBorder="1" applyAlignment="1">
      <alignment horizontal="center"/>
    </xf>
    <xf numFmtId="0" fontId="159" fillId="45" borderId="11" xfId="8726" applyFont="1" applyFill="1" applyBorder="1" applyAlignment="1">
      <alignment horizontal="left"/>
    </xf>
    <xf numFmtId="0" fontId="159" fillId="45" borderId="91" xfId="8726" applyFont="1" applyFill="1" applyBorder="1" applyAlignment="1">
      <alignment horizontal="left"/>
    </xf>
    <xf numFmtId="0" fontId="3" fillId="47" borderId="73" xfId="8726" applyFill="1" applyBorder="1" applyAlignment="1" applyProtection="1">
      <alignment horizontal="center"/>
      <protection locked="0"/>
    </xf>
    <xf numFmtId="0" fontId="3" fillId="47" borderId="93" xfId="8726" applyFill="1" applyBorder="1" applyAlignment="1" applyProtection="1">
      <alignment horizontal="center"/>
      <protection locked="0"/>
    </xf>
    <xf numFmtId="0" fontId="160" fillId="45" borderId="80" xfId="8726" applyFont="1" applyFill="1" applyBorder="1" applyAlignment="1">
      <alignment horizontal="left"/>
    </xf>
    <xf numFmtId="0" fontId="160" fillId="45" borderId="11" xfId="8726" applyFont="1" applyFill="1" applyBorder="1" applyAlignment="1">
      <alignment horizontal="left"/>
    </xf>
    <xf numFmtId="0" fontId="2" fillId="49" borderId="11" xfId="8726" applyFont="1" applyFill="1" applyBorder="1" applyAlignment="1" applyProtection="1">
      <alignment horizontal="center"/>
      <protection locked="0"/>
    </xf>
    <xf numFmtId="0" fontId="160" fillId="45" borderId="72" xfId="8726" applyFont="1" applyFill="1" applyBorder="1" applyAlignment="1">
      <alignment horizontal="left"/>
    </xf>
    <xf numFmtId="0" fontId="160" fillId="45" borderId="73" xfId="8726" applyFont="1" applyFill="1" applyBorder="1" applyAlignment="1">
      <alignment horizontal="left"/>
    </xf>
    <xf numFmtId="0" fontId="145" fillId="45" borderId="70" xfId="8726" applyFont="1" applyFill="1" applyBorder="1" applyAlignment="1">
      <alignment horizontal="left"/>
    </xf>
    <xf numFmtId="0" fontId="145" fillId="45" borderId="71" xfId="8726" applyFont="1" applyFill="1" applyBorder="1" applyAlignment="1">
      <alignment horizontal="left"/>
    </xf>
    <xf numFmtId="0" fontId="147" fillId="49" borderId="71" xfId="8726" applyFont="1" applyFill="1" applyBorder="1" applyAlignment="1" applyProtection="1">
      <alignment horizontal="left"/>
      <protection locked="0"/>
    </xf>
    <xf numFmtId="0" fontId="147" fillId="49" borderId="74" xfId="8726" applyFont="1" applyFill="1" applyBorder="1" applyAlignment="1" applyProtection="1">
      <alignment horizontal="left"/>
      <protection locked="0"/>
    </xf>
    <xf numFmtId="0" fontId="153" fillId="45" borderId="80" xfId="8726" applyFont="1" applyFill="1" applyBorder="1" applyAlignment="1">
      <alignment horizontal="left"/>
    </xf>
    <xf numFmtId="0" fontId="153" fillId="45" borderId="11" xfId="8726" applyFont="1" applyFill="1" applyBorder="1" applyAlignment="1">
      <alignment horizontal="left"/>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left" vertical="top" wrapText="1"/>
      <protection locked="0"/>
    </xf>
    <xf numFmtId="0" fontId="164" fillId="49" borderId="11" xfId="8726" applyFont="1" applyFill="1" applyBorder="1" applyAlignment="1" applyProtection="1">
      <alignment horizontal="left" vertical="top"/>
      <protection locked="0"/>
    </xf>
    <xf numFmtId="0" fontId="164" fillId="49" borderId="91" xfId="8726" applyFont="1" applyFill="1" applyBorder="1" applyAlignment="1" applyProtection="1">
      <alignment horizontal="left" vertical="top"/>
      <protection locked="0"/>
    </xf>
    <xf numFmtId="0" fontId="164" fillId="49" borderId="80" xfId="8726" applyFont="1" applyFill="1" applyBorder="1" applyAlignment="1" applyProtection="1">
      <alignment horizontal="left" vertical="top"/>
      <protection locked="0"/>
    </xf>
    <xf numFmtId="0" fontId="164" fillId="49" borderId="72" xfId="8726" applyFont="1" applyFill="1" applyBorder="1" applyAlignment="1" applyProtection="1">
      <alignment horizontal="left" vertical="top"/>
      <protection locked="0"/>
    </xf>
    <xf numFmtId="0" fontId="164" fillId="49" borderId="73" xfId="8726" applyFont="1" applyFill="1" applyBorder="1" applyAlignment="1" applyProtection="1">
      <alignment horizontal="left" vertical="top"/>
      <protection locked="0"/>
    </xf>
    <xf numFmtId="0" fontId="164" fillId="49" borderId="93" xfId="8726" applyFont="1" applyFill="1" applyBorder="1" applyAlignment="1" applyProtection="1">
      <alignment horizontal="left" vertical="top"/>
      <protection locked="0"/>
    </xf>
    <xf numFmtId="0" fontId="149" fillId="45" borderId="11" xfId="8726" applyFont="1" applyFill="1" applyBorder="1" applyAlignment="1">
      <alignment horizontal="center" wrapText="1"/>
    </xf>
    <xf numFmtId="0" fontId="149" fillId="45" borderId="91" xfId="8726" applyFont="1" applyFill="1" applyBorder="1" applyAlignment="1">
      <alignment horizontal="center" wrapText="1"/>
    </xf>
    <xf numFmtId="0" fontId="101" fillId="45" borderId="91" xfId="8726" applyFont="1" applyFill="1" applyBorder="1" applyAlignment="1">
      <alignment horizontal="center"/>
    </xf>
    <xf numFmtId="0" fontId="172" fillId="45" borderId="80" xfId="8726" applyFont="1" applyFill="1" applyBorder="1" applyAlignment="1">
      <alignment horizontal="center"/>
    </xf>
    <xf numFmtId="0" fontId="172" fillId="45" borderId="11" xfId="8726" applyFont="1" applyFill="1" applyBorder="1" applyAlignment="1">
      <alignment horizontal="center"/>
    </xf>
    <xf numFmtId="0" fontId="164" fillId="49" borderId="11" xfId="8726"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168" fontId="164" fillId="49" borderId="11" xfId="8727" applyNumberFormat="1" applyFont="1" applyFill="1" applyBorder="1" applyAlignment="1" applyProtection="1">
      <alignment horizontal="center"/>
      <protection locked="0"/>
    </xf>
    <xf numFmtId="168" fontId="164" fillId="49" borderId="91" xfId="8727" applyNumberFormat="1" applyFont="1" applyFill="1" applyBorder="1" applyAlignment="1" applyProtection="1">
      <alignment horizontal="center"/>
      <protection locked="0"/>
    </xf>
    <xf numFmtId="14" fontId="164" fillId="49" borderId="11" xfId="8726" applyNumberFormat="1" applyFont="1" applyFill="1" applyBorder="1" applyAlignment="1" applyProtection="1">
      <alignment horizontal="center"/>
      <protection locked="0"/>
    </xf>
    <xf numFmtId="0" fontId="158" fillId="49" borderId="11" xfId="8726" applyFont="1" applyFill="1" applyBorder="1" applyAlignment="1" applyProtection="1">
      <alignment horizontal="left"/>
      <protection locked="0"/>
    </xf>
    <xf numFmtId="0" fontId="172" fillId="45" borderId="72" xfId="8726" applyFont="1" applyFill="1" applyBorder="1" applyAlignment="1">
      <alignment horizontal="center"/>
    </xf>
    <xf numFmtId="0" fontId="172" fillId="45" borderId="73" xfId="8726" applyFont="1" applyFill="1" applyBorder="1" applyAlignment="1">
      <alignment horizontal="center"/>
    </xf>
    <xf numFmtId="0" fontId="158" fillId="49" borderId="73" xfId="8726" applyFont="1" applyFill="1" applyBorder="1" applyAlignment="1" applyProtection="1">
      <alignment horizontal="left"/>
      <protection locked="0"/>
    </xf>
    <xf numFmtId="0" fontId="164" fillId="49" borderId="73" xfId="8726" applyFont="1" applyFill="1" applyBorder="1" applyAlignment="1" applyProtection="1">
      <alignment horizontal="center"/>
      <protection locked="0"/>
    </xf>
    <xf numFmtId="14" fontId="164" fillId="49" borderId="73" xfId="8726" applyNumberFormat="1" applyFont="1" applyFill="1" applyBorder="1" applyAlignment="1" applyProtection="1">
      <alignment horizontal="center"/>
      <protection locked="0"/>
    </xf>
    <xf numFmtId="168" fontId="164" fillId="49" borderId="73" xfId="8727" applyNumberFormat="1" applyFont="1" applyFill="1" applyBorder="1" applyAlignment="1" applyProtection="1">
      <alignment horizontal="center"/>
      <protection locked="0"/>
    </xf>
    <xf numFmtId="168" fontId="164" fillId="49" borderId="93" xfId="8727" applyNumberFormat="1" applyFont="1" applyFill="1" applyBorder="1" applyAlignment="1" applyProtection="1">
      <alignment horizontal="center"/>
      <protection locked="0"/>
    </xf>
    <xf numFmtId="0" fontId="162" fillId="49" borderId="72" xfId="8726" applyFont="1" applyFill="1" applyBorder="1" applyAlignment="1" applyProtection="1">
      <alignment horizontal="center"/>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4" fontId="162" fillId="49" borderId="93" xfId="8726" applyNumberFormat="1" applyFont="1" applyFill="1" applyBorder="1" applyAlignment="1" applyProtection="1">
      <alignment horizontal="center"/>
      <protection locked="0"/>
    </xf>
    <xf numFmtId="0" fontId="101" fillId="45" borderId="65" xfId="8726" applyFont="1" applyFill="1" applyBorder="1" applyAlignment="1">
      <alignment horizontal="left" wrapText="1"/>
    </xf>
    <xf numFmtId="0" fontId="101" fillId="45" borderId="29" xfId="8726" applyFont="1" applyFill="1" applyBorder="1" applyAlignment="1">
      <alignment horizontal="left" wrapText="1"/>
    </xf>
    <xf numFmtId="0" fontId="101" fillId="45" borderId="31" xfId="8726" applyFont="1" applyFill="1" applyBorder="1" applyAlignment="1">
      <alignment horizontal="left" wrapText="1"/>
    </xf>
    <xf numFmtId="0" fontId="101" fillId="45" borderId="86" xfId="8726" applyFont="1" applyFill="1" applyBorder="1" applyAlignment="1">
      <alignment horizontal="left" wrapText="1"/>
    </xf>
    <xf numFmtId="0" fontId="101" fillId="45" borderId="42" xfId="8726" applyFont="1" applyFill="1" applyBorder="1" applyAlignment="1">
      <alignment horizontal="left" wrapText="1"/>
    </xf>
    <xf numFmtId="0" fontId="101" fillId="45" borderId="44" xfId="8726" applyFont="1" applyFill="1" applyBorder="1" applyAlignment="1">
      <alignment horizontal="left" wrapText="1"/>
    </xf>
    <xf numFmtId="0" fontId="101" fillId="45" borderId="70" xfId="8726" applyFont="1" applyFill="1" applyBorder="1" applyAlignment="1">
      <alignment horizontal="center"/>
    </xf>
    <xf numFmtId="0" fontId="101" fillId="45" borderId="71" xfId="8726" applyFont="1" applyFill="1" applyBorder="1" applyAlignment="1">
      <alignment horizontal="center"/>
    </xf>
    <xf numFmtId="0" fontId="101" fillId="45" borderId="74" xfId="8726" applyFont="1" applyFill="1" applyBorder="1" applyAlignment="1">
      <alignment horizontal="center"/>
    </xf>
    <xf numFmtId="0" fontId="145" fillId="45" borderId="74" xfId="8726" applyFont="1" applyFill="1" applyBorder="1" applyAlignment="1">
      <alignment horizontal="left"/>
    </xf>
    <xf numFmtId="0" fontId="162" fillId="49" borderId="80" xfId="8726" applyFont="1" applyFill="1" applyBorder="1" applyAlignment="1" applyProtection="1">
      <alignment horizontal="left" vertical="top" wrapText="1"/>
      <protection locked="0"/>
    </xf>
    <xf numFmtId="14" fontId="162"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168" fontId="164" fillId="44" borderId="11" xfId="700" applyNumberFormat="1" applyFont="1" applyFill="1" applyBorder="1" applyAlignment="1">
      <alignment horizontal="left"/>
    </xf>
    <xf numFmtId="0" fontId="148" fillId="47" borderId="11" xfId="8726" applyFont="1" applyFill="1" applyBorder="1" applyAlignment="1">
      <alignment horizontal="center"/>
    </xf>
    <xf numFmtId="0" fontId="148" fillId="47" borderId="91" xfId="8726" applyFont="1" applyFill="1" applyBorder="1" applyAlignment="1">
      <alignment horizontal="center"/>
    </xf>
    <xf numFmtId="0" fontId="164" fillId="45" borderId="80" xfId="8726" applyFont="1" applyFill="1" applyBorder="1" applyAlignment="1">
      <alignment horizontal="right"/>
    </xf>
    <xf numFmtId="0" fontId="164" fillId="45" borderId="11" xfId="8726" applyFont="1" applyFill="1" applyBorder="1" applyAlignment="1">
      <alignment horizontal="right"/>
    </xf>
    <xf numFmtId="44" fontId="3" fillId="49" borderId="11" xfId="700" applyFont="1" applyFill="1" applyBorder="1" applyAlignment="1" applyProtection="1">
      <alignment horizontal="center"/>
      <protection locked="0"/>
    </xf>
    <xf numFmtId="43" fontId="145" fillId="55" borderId="104" xfId="698" applyFont="1" applyFill="1" applyBorder="1" applyAlignment="1" applyProtection="1">
      <alignment horizontal="center"/>
      <protection hidden="1"/>
    </xf>
    <xf numFmtId="43" fontId="145" fillId="55" borderId="97" xfId="698" applyFont="1" applyFill="1" applyBorder="1" applyAlignment="1" applyProtection="1">
      <alignment horizontal="center"/>
      <protection hidden="1"/>
    </xf>
    <xf numFmtId="43" fontId="145" fillId="55" borderId="98" xfId="698" applyFont="1" applyFill="1" applyBorder="1" applyAlignment="1" applyProtection="1">
      <alignment horizontal="center"/>
      <protection hidden="1"/>
    </xf>
    <xf numFmtId="43" fontId="147" fillId="53" borderId="13" xfId="698" applyFont="1" applyFill="1" applyBorder="1" applyAlignment="1" applyProtection="1">
      <alignment horizontal="left"/>
      <protection hidden="1"/>
    </xf>
    <xf numFmtId="44" fontId="3" fillId="49" borderId="13" xfId="700" applyFont="1" applyFill="1" applyBorder="1" applyAlignment="1" applyProtection="1">
      <alignment horizontal="center"/>
      <protection locked="0"/>
    </xf>
    <xf numFmtId="0" fontId="162" fillId="48" borderId="9" xfId="8726" applyFont="1" applyFill="1" applyBorder="1" applyAlignment="1">
      <alignment horizontal="center"/>
    </xf>
    <xf numFmtId="0" fontId="162" fillId="48" borderId="6" xfId="8726" applyFont="1" applyFill="1" applyBorder="1" applyAlignment="1">
      <alignment horizontal="center"/>
    </xf>
    <xf numFmtId="0" fontId="162" fillId="48" borderId="10" xfId="8726" applyFont="1" applyFill="1" applyBorder="1" applyAlignment="1">
      <alignment horizontal="center"/>
    </xf>
    <xf numFmtId="168" fontId="162" fillId="49" borderId="11" xfId="700" applyNumberFormat="1" applyFont="1" applyFill="1" applyBorder="1" applyAlignment="1" applyProtection="1">
      <alignment horizontal="left"/>
      <protection locked="0"/>
    </xf>
    <xf numFmtId="44" fontId="3" fillId="49" borderId="97" xfId="700" applyFont="1" applyFill="1" applyBorder="1" applyAlignment="1" applyProtection="1">
      <alignment horizontal="center"/>
      <protection locked="0"/>
    </xf>
    <xf numFmtId="168" fontId="146" fillId="48" borderId="0" xfId="700" applyNumberFormat="1" applyFont="1" applyFill="1" applyBorder="1" applyAlignment="1" applyProtection="1">
      <alignment horizontal="left"/>
      <protection locked="0"/>
    </xf>
    <xf numFmtId="0" fontId="149" fillId="45" borderId="67" xfId="0" applyFont="1" applyFill="1" applyBorder="1" applyAlignment="1" applyProtection="1">
      <alignment horizontal="center" wrapText="1"/>
      <protection hidden="1"/>
    </xf>
    <xf numFmtId="0" fontId="149" fillId="45" borderId="68" xfId="0" applyFont="1" applyFill="1" applyBorder="1" applyAlignment="1" applyProtection="1">
      <alignment horizontal="center" wrapText="1"/>
      <protection hidden="1"/>
    </xf>
    <xf numFmtId="0" fontId="149"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182" fontId="3" fillId="49" borderId="11" xfId="700" applyNumberFormat="1" applyFont="1" applyFill="1" applyBorder="1" applyAlignment="1" applyProtection="1">
      <alignment horizontal="center"/>
      <protection locked="0"/>
    </xf>
    <xf numFmtId="0" fontId="3" fillId="48" borderId="1" xfId="8726" applyFill="1" applyBorder="1" applyAlignment="1">
      <alignment horizontal="center"/>
    </xf>
    <xf numFmtId="0" fontId="3" fillId="48" borderId="2" xfId="8726" applyFill="1" applyBorder="1" applyAlignment="1">
      <alignment horizontal="center"/>
    </xf>
    <xf numFmtId="0" fontId="3" fillId="48" borderId="7" xfId="8726" applyFill="1" applyBorder="1" applyAlignment="1">
      <alignment horizontal="center"/>
    </xf>
    <xf numFmtId="0" fontId="164" fillId="45" borderId="70" xfId="8726" applyFont="1" applyFill="1" applyBorder="1" applyAlignment="1">
      <alignment horizontal="right"/>
    </xf>
    <xf numFmtId="0" fontId="164" fillId="45" borderId="71" xfId="8726" applyFont="1" applyFill="1" applyBorder="1" applyAlignment="1">
      <alignment horizontal="right"/>
    </xf>
    <xf numFmtId="168" fontId="147" fillId="44" borderId="71" xfId="700" applyNumberFormat="1" applyFont="1" applyFill="1" applyBorder="1" applyAlignment="1">
      <alignment horizontal="left"/>
    </xf>
    <xf numFmtId="168" fontId="147" fillId="44" borderId="74" xfId="700" applyNumberFormat="1" applyFont="1" applyFill="1" applyBorder="1" applyAlignment="1">
      <alignment horizontal="left"/>
    </xf>
    <xf numFmtId="0" fontId="162" fillId="49" borderId="81" xfId="8726" applyFont="1" applyFill="1" applyBorder="1" applyAlignment="1" applyProtection="1">
      <alignment horizontal="center"/>
      <protection locked="0"/>
    </xf>
    <xf numFmtId="0" fontId="162" fillId="49" borderId="82" xfId="8726" applyFont="1" applyFill="1" applyBorder="1" applyAlignment="1" applyProtection="1">
      <alignment horizontal="center"/>
      <protection locked="0"/>
    </xf>
    <xf numFmtId="0" fontId="164" fillId="49" borderId="73" xfId="8726" applyFont="1" applyFill="1" applyBorder="1" applyAlignment="1" applyProtection="1">
      <alignment horizontal="left"/>
      <protection locked="0"/>
    </xf>
    <xf numFmtId="0" fontId="164" fillId="49" borderId="93" xfId="8726" applyFont="1" applyFill="1" applyBorder="1" applyAlignment="1" applyProtection="1">
      <alignment horizontal="left"/>
      <protection locked="0"/>
    </xf>
    <xf numFmtId="168" fontId="162" fillId="49" borderId="82" xfId="700" applyNumberFormat="1" applyFont="1" applyFill="1" applyBorder="1" applyAlignment="1" applyProtection="1">
      <alignment horizontal="left"/>
      <protection locked="0"/>
    </xf>
    <xf numFmtId="168" fontId="162" fillId="49" borderId="85" xfId="700" applyNumberFormat="1" applyFont="1" applyFill="1" applyBorder="1" applyAlignment="1" applyProtection="1">
      <alignment horizontal="left"/>
      <protection locked="0"/>
    </xf>
    <xf numFmtId="0" fontId="162" fillId="49" borderId="81" xfId="8726" applyFont="1" applyFill="1" applyBorder="1" applyAlignment="1" applyProtection="1">
      <alignment horizontal="left"/>
      <protection locked="0"/>
    </xf>
    <xf numFmtId="0" fontId="162" fillId="49" borderId="82" xfId="8726" applyFont="1" applyFill="1" applyBorder="1" applyAlignment="1" applyProtection="1">
      <alignment horizontal="left"/>
      <protection locked="0"/>
    </xf>
    <xf numFmtId="0" fontId="162" fillId="49" borderId="85" xfId="8726" applyFont="1" applyFill="1" applyBorder="1" applyAlignment="1" applyProtection="1">
      <alignment horizontal="left"/>
      <protection locked="0"/>
    </xf>
    <xf numFmtId="0" fontId="172" fillId="48" borderId="0" xfId="8726" applyFont="1" applyFill="1" applyAlignment="1">
      <alignment horizontal="left" wrapText="1"/>
    </xf>
    <xf numFmtId="0" fontId="172" fillId="48" borderId="41" xfId="8726" applyFont="1" applyFill="1" applyBorder="1" applyAlignment="1">
      <alignment horizontal="left" wrapText="1"/>
    </xf>
    <xf numFmtId="0" fontId="164" fillId="49" borderId="11" xfId="8726" applyFont="1" applyFill="1" applyBorder="1" applyAlignment="1" applyProtection="1">
      <alignment horizontal="left"/>
      <protection locked="0"/>
    </xf>
    <xf numFmtId="0" fontId="164" fillId="49" borderId="80" xfId="8726" applyFont="1" applyFill="1" applyBorder="1" applyAlignment="1" applyProtection="1">
      <alignment horizontal="center"/>
      <protection locked="0"/>
    </xf>
    <xf numFmtId="10" fontId="162" fillId="49" borderId="11" xfId="1022" applyNumberFormat="1" applyFont="1" applyFill="1" applyBorder="1" applyAlignment="1" applyProtection="1">
      <alignment horizontal="center"/>
      <protection locked="0"/>
    </xf>
    <xf numFmtId="43" fontId="145" fillId="45" borderId="67" xfId="698" applyFont="1" applyFill="1" applyBorder="1" applyAlignment="1" applyProtection="1">
      <alignment horizontal="center"/>
      <protection hidden="1"/>
    </xf>
    <xf numFmtId="43" fontId="145" fillId="45" borderId="68" xfId="698" applyFont="1" applyFill="1" applyBorder="1" applyAlignment="1" applyProtection="1">
      <alignment horizontal="center"/>
      <protection hidden="1"/>
    </xf>
    <xf numFmtId="43" fontId="145" fillId="45" borderId="69" xfId="698" applyFont="1" applyFill="1" applyBorder="1" applyAlignment="1" applyProtection="1">
      <alignment horizontal="center"/>
      <protection hidden="1"/>
    </xf>
    <xf numFmtId="43" fontId="146" fillId="53" borderId="66" xfId="698" applyFont="1" applyFill="1" applyBorder="1" applyAlignment="1" applyProtection="1">
      <alignment horizontal="center" wrapText="1"/>
      <protection hidden="1"/>
    </xf>
    <xf numFmtId="43" fontId="146" fillId="53" borderId="0" xfId="698" applyFont="1" applyFill="1" applyBorder="1" applyAlignment="1" applyProtection="1">
      <alignment horizontal="center" wrapText="1"/>
      <protection hidden="1"/>
    </xf>
    <xf numFmtId="43" fontId="146" fillId="53" borderId="12" xfId="698" applyFont="1" applyFill="1" applyBorder="1" applyAlignment="1" applyProtection="1">
      <alignment horizontal="center" wrapText="1"/>
      <protection hidden="1"/>
    </xf>
    <xf numFmtId="43" fontId="146" fillId="53" borderId="102" xfId="698" applyFont="1" applyFill="1" applyBorder="1" applyAlignment="1" applyProtection="1">
      <alignment horizontal="center" wrapText="1"/>
      <protection hidden="1"/>
    </xf>
    <xf numFmtId="43" fontId="146" fillId="53" borderId="6" xfId="698" applyFont="1" applyFill="1" applyBorder="1" applyAlignment="1" applyProtection="1">
      <alignment horizontal="center" wrapText="1"/>
      <protection hidden="1"/>
    </xf>
    <xf numFmtId="43" fontId="146" fillId="53" borderId="10" xfId="698" applyFont="1" applyFill="1" applyBorder="1" applyAlignment="1" applyProtection="1">
      <alignment horizontal="center" wrapText="1"/>
      <protection hidden="1"/>
    </xf>
    <xf numFmtId="43" fontId="146" fillId="53" borderId="8" xfId="698" applyFont="1" applyFill="1" applyBorder="1" applyAlignment="1" applyProtection="1">
      <alignment horizontal="center" wrapText="1"/>
      <protection hidden="1"/>
    </xf>
    <xf numFmtId="43" fontId="146" fillId="53" borderId="9" xfId="698" applyFont="1" applyFill="1" applyBorder="1" applyAlignment="1" applyProtection="1">
      <alignment horizontal="center" wrapText="1"/>
      <protection hidden="1"/>
    </xf>
    <xf numFmtId="14" fontId="146" fillId="0" borderId="8" xfId="700" applyNumberFormat="1" applyFont="1" applyFill="1" applyBorder="1" applyAlignment="1" applyProtection="1">
      <alignment horizontal="center" wrapText="1"/>
      <protection hidden="1"/>
    </xf>
    <xf numFmtId="14" fontId="146" fillId="0" borderId="0" xfId="700" applyNumberFormat="1" applyFont="1" applyFill="1" applyBorder="1" applyAlignment="1" applyProtection="1">
      <alignment horizontal="center" wrapText="1"/>
      <protection hidden="1"/>
    </xf>
    <xf numFmtId="14" fontId="146" fillId="0" borderId="12" xfId="700" applyNumberFormat="1" applyFont="1" applyFill="1" applyBorder="1" applyAlignment="1" applyProtection="1">
      <alignment horizontal="center" wrapText="1"/>
      <protection hidden="1"/>
    </xf>
    <xf numFmtId="14" fontId="146" fillId="0" borderId="9" xfId="700" applyNumberFormat="1" applyFont="1" applyFill="1" applyBorder="1" applyAlignment="1" applyProtection="1">
      <alignment horizontal="center" wrapText="1"/>
      <protection hidden="1"/>
    </xf>
    <xf numFmtId="14" fontId="146" fillId="0" borderId="6" xfId="700" applyNumberFormat="1" applyFont="1" applyFill="1" applyBorder="1" applyAlignment="1" applyProtection="1">
      <alignment horizontal="center" wrapText="1"/>
      <protection hidden="1"/>
    </xf>
    <xf numFmtId="14" fontId="146" fillId="0" borderId="10" xfId="700" applyNumberFormat="1" applyFont="1" applyFill="1" applyBorder="1" applyAlignment="1" applyProtection="1">
      <alignment horizontal="center" wrapText="1"/>
      <protection hidden="1"/>
    </xf>
    <xf numFmtId="44" fontId="146" fillId="0" borderId="8" xfId="700" applyFont="1" applyBorder="1" applyAlignment="1" applyProtection="1">
      <alignment horizontal="center" wrapText="1"/>
      <protection hidden="1"/>
    </xf>
    <xf numFmtId="44" fontId="146" fillId="0" borderId="0" xfId="700" applyFont="1" applyBorder="1" applyAlignment="1" applyProtection="1">
      <alignment horizontal="center" wrapText="1"/>
      <protection hidden="1"/>
    </xf>
    <xf numFmtId="44" fontId="146" fillId="0" borderId="12" xfId="700" applyFont="1" applyBorder="1" applyAlignment="1" applyProtection="1">
      <alignment horizontal="center" wrapText="1"/>
      <protection hidden="1"/>
    </xf>
    <xf numFmtId="44" fontId="146" fillId="0" borderId="9" xfId="700" applyFont="1" applyBorder="1" applyAlignment="1" applyProtection="1">
      <alignment horizontal="center" wrapText="1"/>
      <protection hidden="1"/>
    </xf>
    <xf numFmtId="44" fontId="146" fillId="0" borderId="6" xfId="700" applyFont="1" applyBorder="1" applyAlignment="1" applyProtection="1">
      <alignment horizontal="center" wrapText="1"/>
      <protection hidden="1"/>
    </xf>
    <xf numFmtId="44" fontId="146" fillId="0" borderId="10" xfId="700" applyFont="1" applyBorder="1" applyAlignment="1" applyProtection="1">
      <alignment horizontal="center" wrapText="1"/>
      <protection hidden="1"/>
    </xf>
    <xf numFmtId="0" fontId="101" fillId="0" borderId="67" xfId="8726" applyFont="1" applyBorder="1" applyAlignment="1">
      <alignment horizontal="left"/>
    </xf>
    <xf numFmtId="0" fontId="101" fillId="0" borderId="68" xfId="8726" applyFont="1" applyBorder="1" applyAlignment="1">
      <alignment horizontal="left"/>
    </xf>
    <xf numFmtId="0" fontId="148" fillId="45" borderId="72" xfId="8726" applyFont="1" applyFill="1" applyBorder="1" applyAlignment="1">
      <alignment horizontal="right"/>
    </xf>
    <xf numFmtId="0" fontId="148" fillId="45" borderId="73" xfId="8726" applyFont="1" applyFill="1" applyBorder="1" applyAlignment="1">
      <alignment horizontal="right"/>
    </xf>
    <xf numFmtId="0" fontId="149" fillId="44" borderId="73" xfId="700" applyNumberFormat="1" applyFont="1" applyFill="1" applyBorder="1" applyAlignment="1">
      <alignment horizontal="left"/>
    </xf>
    <xf numFmtId="168" fontId="149" fillId="44" borderId="73" xfId="700" applyNumberFormat="1" applyFont="1" applyFill="1" applyBorder="1" applyAlignment="1">
      <alignment horizontal="left"/>
    </xf>
    <xf numFmtId="168" fontId="149" fillId="44" borderId="93" xfId="700" applyNumberFormat="1" applyFont="1" applyFill="1" applyBorder="1" applyAlignment="1">
      <alignment horizontal="left"/>
    </xf>
    <xf numFmtId="0" fontId="145" fillId="48" borderId="0" xfId="8726" applyFont="1" applyFill="1" applyAlignment="1">
      <alignment horizontal="right"/>
    </xf>
    <xf numFmtId="0" fontId="147" fillId="49" borderId="3" xfId="8726" applyFont="1" applyFill="1" applyBorder="1" applyAlignment="1" applyProtection="1">
      <alignment horizontal="center"/>
      <protection locked="0"/>
    </xf>
    <xf numFmtId="0" fontId="147" fillId="49" borderId="4" xfId="8726" applyFont="1" applyFill="1" applyBorder="1" applyAlignment="1" applyProtection="1">
      <alignment horizontal="center"/>
      <protection locked="0"/>
    </xf>
    <xf numFmtId="0" fontId="147" fillId="49" borderId="79" xfId="8726" applyFont="1" applyFill="1" applyBorder="1" applyAlignment="1" applyProtection="1">
      <alignment horizontal="center"/>
      <protection locked="0"/>
    </xf>
    <xf numFmtId="0" fontId="101" fillId="44" borderId="0" xfId="8726" applyFont="1" applyFill="1" applyAlignment="1">
      <alignment horizontal="left"/>
    </xf>
    <xf numFmtId="0" fontId="149" fillId="44" borderId="0" xfId="8726" applyFont="1" applyFill="1" applyAlignment="1">
      <alignment horizontal="left" vertical="top"/>
    </xf>
    <xf numFmtId="0" fontId="101" fillId="44" borderId="0" xfId="4503" applyFont="1" applyFill="1" applyBorder="1" applyAlignment="1">
      <alignment horizontal="left" vertical="top"/>
    </xf>
    <xf numFmtId="0" fontId="173" fillId="48" borderId="65" xfId="8726" applyFont="1" applyFill="1" applyBorder="1" applyAlignment="1">
      <alignment horizontal="center"/>
    </xf>
    <xf numFmtId="0" fontId="173" fillId="48" borderId="29" xfId="8726" applyFont="1" applyFill="1" applyBorder="1" applyAlignment="1">
      <alignment horizontal="center"/>
    </xf>
    <xf numFmtId="0" fontId="173" fillId="48" borderId="31" xfId="8726" applyFont="1" applyFill="1" applyBorder="1" applyAlignment="1">
      <alignment horizontal="center"/>
    </xf>
    <xf numFmtId="0" fontId="3" fillId="48" borderId="66" xfId="8726" applyFill="1" applyBorder="1" applyAlignment="1">
      <alignment horizontal="center"/>
    </xf>
    <xf numFmtId="0" fontId="3" fillId="48" borderId="0" xfId="8726" applyFill="1" applyAlignment="1">
      <alignment horizontal="center"/>
    </xf>
    <xf numFmtId="0" fontId="3" fillId="48" borderId="41" xfId="8726" applyFill="1" applyBorder="1" applyAlignment="1">
      <alignment horizontal="center"/>
    </xf>
    <xf numFmtId="0" fontId="145" fillId="48" borderId="66" xfId="8726" applyFont="1" applyFill="1" applyBorder="1" applyAlignment="1">
      <alignment horizontal="center"/>
    </xf>
    <xf numFmtId="0" fontId="145" fillId="48" borderId="0" xfId="8726" applyFont="1" applyFill="1" applyAlignment="1">
      <alignment horizontal="center"/>
    </xf>
    <xf numFmtId="0" fontId="145" fillId="48" borderId="41" xfId="8726" applyFont="1" applyFill="1" applyBorder="1" applyAlignment="1">
      <alignment horizontal="center"/>
    </xf>
    <xf numFmtId="0" fontId="101" fillId="48" borderId="66" xfId="8726" applyFont="1" applyFill="1" applyBorder="1" applyAlignment="1">
      <alignment horizontal="center"/>
    </xf>
    <xf numFmtId="0" fontId="101" fillId="48" borderId="0" xfId="8726" applyFont="1" applyFill="1" applyAlignment="1">
      <alignment horizontal="center"/>
    </xf>
    <xf numFmtId="0" fontId="101" fillId="48" borderId="41" xfId="8726" applyFont="1" applyFill="1" applyBorder="1" applyAlignment="1">
      <alignment horizontal="center"/>
    </xf>
    <xf numFmtId="14" fontId="3" fillId="49" borderId="67" xfId="8726" applyNumberFormat="1" applyFill="1" applyBorder="1" applyAlignment="1" applyProtection="1">
      <alignment horizontal="center"/>
      <protection locked="0"/>
    </xf>
    <xf numFmtId="14" fontId="3" fillId="49" borderId="68" xfId="8726" applyNumberFormat="1" applyFill="1" applyBorder="1" applyAlignment="1" applyProtection="1">
      <alignment horizontal="center"/>
      <protection locked="0"/>
    </xf>
    <xf numFmtId="14" fontId="3" fillId="49" borderId="69" xfId="8726" applyNumberFormat="1" applyFill="1" applyBorder="1" applyAlignment="1" applyProtection="1">
      <alignment horizontal="center"/>
      <protection locked="0"/>
    </xf>
    <xf numFmtId="0" fontId="3" fillId="49" borderId="67" xfId="8726" applyFill="1" applyBorder="1" applyAlignment="1" applyProtection="1">
      <alignment horizontal="left"/>
      <protection locked="0"/>
    </xf>
    <xf numFmtId="0" fontId="3" fillId="49" borderId="68" xfId="8726" applyFill="1" applyBorder="1" applyAlignment="1" applyProtection="1">
      <alignment horizontal="left"/>
      <protection locked="0"/>
    </xf>
    <xf numFmtId="0" fontId="3" fillId="49" borderId="69" xfId="8726" applyFill="1" applyBorder="1" applyAlignment="1" applyProtection="1">
      <alignment horizontal="left"/>
      <protection locked="0"/>
    </xf>
    <xf numFmtId="0" fontId="3" fillId="49" borderId="67" xfId="8726" applyFill="1" applyBorder="1" applyAlignment="1" applyProtection="1">
      <alignment horizontal="center"/>
      <protection locked="0"/>
    </xf>
    <xf numFmtId="0" fontId="3" fillId="49" borderId="68" xfId="8726" applyFill="1" applyBorder="1" applyAlignment="1" applyProtection="1">
      <alignment horizontal="center"/>
      <protection locked="0"/>
    </xf>
    <xf numFmtId="0" fontId="3" fillId="49" borderId="69" xfId="8726" applyFill="1" applyBorder="1" applyAlignment="1" applyProtection="1">
      <alignment horizontal="center"/>
      <protection locked="0"/>
    </xf>
    <xf numFmtId="0" fontId="101" fillId="48" borderId="42" xfId="8726" applyFont="1" applyFill="1" applyBorder="1" applyAlignment="1">
      <alignment horizontal="center"/>
    </xf>
    <xf numFmtId="0" fontId="145" fillId="48" borderId="0" xfId="8726" applyFont="1" applyFill="1" applyAlignment="1">
      <alignment horizontal="left" vertical="top" wrapText="1"/>
    </xf>
    <xf numFmtId="0" fontId="101" fillId="48" borderId="0" xfId="8726" applyFont="1" applyFill="1" applyAlignment="1">
      <alignment horizontal="left"/>
    </xf>
    <xf numFmtId="0" fontId="177" fillId="54" borderId="3" xfId="698" applyNumberFormat="1" applyFont="1" applyFill="1" applyBorder="1" applyAlignment="1" applyProtection="1">
      <alignment horizontal="center"/>
      <protection locked="0"/>
    </xf>
    <xf numFmtId="0" fontId="177" fillId="54" borderId="4" xfId="698" applyNumberFormat="1" applyFont="1" applyFill="1" applyBorder="1" applyAlignment="1" applyProtection="1">
      <alignment horizontal="center"/>
      <protection locked="0"/>
    </xf>
    <xf numFmtId="0" fontId="177" fillId="54" borderId="79" xfId="698" applyNumberFormat="1" applyFont="1" applyFill="1" applyBorder="1" applyAlignment="1" applyProtection="1">
      <alignment horizontal="center"/>
      <protection locked="0"/>
    </xf>
    <xf numFmtId="43" fontId="145" fillId="53" borderId="3" xfId="698" applyFont="1" applyFill="1" applyBorder="1" applyAlignment="1" applyProtection="1">
      <alignment horizontal="center"/>
      <protection hidden="1"/>
    </xf>
    <xf numFmtId="43" fontId="145" fillId="53" borderId="4" xfId="698" applyFont="1" applyFill="1" applyBorder="1" applyAlignment="1" applyProtection="1">
      <alignment horizontal="center"/>
      <protection hidden="1"/>
    </xf>
    <xf numFmtId="43" fontId="145" fillId="53" borderId="79" xfId="698" applyFont="1" applyFill="1" applyBorder="1" applyAlignment="1" applyProtection="1">
      <alignment horizontal="center"/>
      <protection hidden="1"/>
    </xf>
    <xf numFmtId="43" fontId="146" fillId="53" borderId="41" xfId="698" applyFont="1" applyFill="1" applyBorder="1" applyAlignment="1" applyProtection="1">
      <alignment horizontal="center" wrapText="1"/>
      <protection hidden="1"/>
    </xf>
    <xf numFmtId="43" fontId="146" fillId="53" borderId="103" xfId="698" applyFont="1" applyFill="1" applyBorder="1" applyAlignment="1" applyProtection="1">
      <alignment horizontal="center" wrapText="1"/>
      <protection hidden="1"/>
    </xf>
    <xf numFmtId="44" fontId="177" fillId="49" borderId="11" xfId="700" applyFont="1" applyFill="1" applyBorder="1" applyAlignment="1" applyProtection="1">
      <alignment horizontal="center"/>
      <protection locked="0"/>
    </xf>
    <xf numFmtId="168" fontId="145" fillId="45" borderId="43" xfId="8726" applyNumberFormat="1" applyFont="1" applyFill="1" applyBorder="1" applyAlignment="1">
      <alignment horizontal="left"/>
    </xf>
    <xf numFmtId="168" fontId="145" fillId="45" borderId="96" xfId="8726" applyNumberFormat="1" applyFont="1" applyFill="1" applyBorder="1" applyAlignment="1">
      <alignment horizontal="left"/>
    </xf>
    <xf numFmtId="0" fontId="3" fillId="49" borderId="1" xfId="8726" applyFill="1" applyBorder="1" applyAlignment="1" applyProtection="1">
      <alignment horizontal="center"/>
      <protection locked="0"/>
    </xf>
    <xf numFmtId="0" fontId="3" fillId="49" borderId="2" xfId="8726" applyFill="1" applyBorder="1" applyAlignment="1" applyProtection="1">
      <alignment horizontal="center"/>
      <protection locked="0"/>
    </xf>
    <xf numFmtId="0" fontId="3" fillId="49" borderId="4" xfId="8726" applyFill="1" applyBorder="1" applyAlignment="1" applyProtection="1">
      <alignment horizontal="center"/>
      <protection locked="0"/>
    </xf>
    <xf numFmtId="0" fontId="3" fillId="49" borderId="79" xfId="8726" applyFill="1" applyBorder="1" applyAlignment="1" applyProtection="1">
      <alignment horizontal="center"/>
      <protection locked="0"/>
    </xf>
    <xf numFmtId="10" fontId="3" fillId="0" borderId="84" xfId="8726" applyNumberFormat="1" applyBorder="1" applyAlignment="1">
      <alignment horizontal="center"/>
    </xf>
    <xf numFmtId="10" fontId="3" fillId="0" borderId="82" xfId="8726" applyNumberFormat="1" applyBorder="1" applyAlignment="1">
      <alignment horizontal="center"/>
    </xf>
    <xf numFmtId="10" fontId="3" fillId="0" borderId="85" xfId="8726" applyNumberFormat="1" applyBorder="1" applyAlignment="1">
      <alignment horizontal="center"/>
    </xf>
    <xf numFmtId="0" fontId="147" fillId="49" borderId="89" xfId="8726" applyFont="1" applyFill="1" applyBorder="1" applyAlignment="1" applyProtection="1">
      <alignment horizontal="left"/>
      <protection locked="0"/>
    </xf>
    <xf numFmtId="0" fontId="145" fillId="45" borderId="80" xfId="8726" applyFont="1" applyFill="1" applyBorder="1" applyAlignment="1">
      <alignment horizontal="center"/>
    </xf>
    <xf numFmtId="0" fontId="145" fillId="45" borderId="11" xfId="8726" applyFont="1" applyFill="1" applyBorder="1" applyAlignment="1">
      <alignment horizontal="center"/>
    </xf>
    <xf numFmtId="0" fontId="145" fillId="45" borderId="3" xfId="8726" applyFont="1" applyFill="1" applyBorder="1" applyAlignment="1">
      <alignment horizontal="center"/>
    </xf>
    <xf numFmtId="0" fontId="145" fillId="45" borderId="4" xfId="8726" applyFont="1" applyFill="1" applyBorder="1" applyAlignment="1">
      <alignment horizontal="center"/>
    </xf>
    <xf numFmtId="0" fontId="145" fillId="45" borderId="79" xfId="8726" applyFont="1" applyFill="1" applyBorder="1" applyAlignment="1">
      <alignment horizontal="center"/>
    </xf>
    <xf numFmtId="0" fontId="101" fillId="45" borderId="72" xfId="8726" applyFont="1" applyFill="1" applyBorder="1" applyAlignment="1">
      <alignment horizontal="center"/>
    </xf>
    <xf numFmtId="0" fontId="101" fillId="45" borderId="73" xfId="8726" applyFont="1" applyFill="1" applyBorder="1" applyAlignment="1">
      <alignment horizontal="center"/>
    </xf>
    <xf numFmtId="14" fontId="147" fillId="49" borderId="83" xfId="8726" applyNumberFormat="1" applyFont="1" applyFill="1" applyBorder="1" applyAlignment="1" applyProtection="1">
      <alignment horizontal="center"/>
      <protection locked="0"/>
    </xf>
    <xf numFmtId="0" fontId="147" fillId="49" borderId="73" xfId="8726" applyFont="1" applyFill="1" applyBorder="1" applyAlignment="1" applyProtection="1">
      <alignment horizontal="center"/>
      <protection locked="0"/>
    </xf>
    <xf numFmtId="0" fontId="147" fillId="49" borderId="93" xfId="8726" applyFont="1" applyFill="1" applyBorder="1" applyAlignment="1" applyProtection="1">
      <alignment horizontal="center"/>
      <protection locked="0"/>
    </xf>
    <xf numFmtId="10" fontId="3" fillId="49" borderId="84" xfId="8726" applyNumberFormat="1" applyFill="1" applyBorder="1" applyAlignment="1" applyProtection="1">
      <alignment horizontal="center"/>
      <protection locked="0"/>
    </xf>
    <xf numFmtId="10" fontId="3" fillId="49" borderId="82" xfId="8726" applyNumberFormat="1" applyFill="1" applyBorder="1" applyAlignment="1" applyProtection="1">
      <alignment horizontal="center"/>
      <protection locked="0"/>
    </xf>
    <xf numFmtId="10" fontId="3" fillId="49" borderId="85" xfId="8726" applyNumberFormat="1" applyFill="1" applyBorder="1" applyAlignment="1" applyProtection="1">
      <alignment horizontal="center"/>
      <protection locked="0"/>
    </xf>
    <xf numFmtId="0" fontId="3" fillId="49" borderId="3" xfId="8726" applyFill="1" applyBorder="1" applyAlignment="1" applyProtection="1">
      <alignment horizontal="center"/>
      <protection locked="0"/>
    </xf>
    <xf numFmtId="0" fontId="145" fillId="45" borderId="95" xfId="8726" applyFont="1" applyFill="1" applyBorder="1" applyAlignment="1">
      <alignment horizontal="center"/>
    </xf>
    <xf numFmtId="0" fontId="145" fillId="45" borderId="13" xfId="8726" applyFont="1" applyFill="1" applyBorder="1" applyAlignment="1">
      <alignment horizontal="center"/>
    </xf>
    <xf numFmtId="168" fontId="15" fillId="0" borderId="11" xfId="569" applyNumberFormat="1" applyBorder="1"/>
    <xf numFmtId="168" fontId="15" fillId="0" borderId="3" xfId="569" applyNumberFormat="1" applyBorder="1"/>
    <xf numFmtId="168" fontId="15" fillId="0" borderId="4" xfId="569" applyNumberFormat="1" applyBorder="1"/>
    <xf numFmtId="168" fontId="15" fillId="0" borderId="5" xfId="569" applyNumberFormat="1" applyBorder="1"/>
    <xf numFmtId="168" fontId="15" fillId="0" borderId="11" xfId="569" applyNumberFormat="1" applyBorder="1" applyAlignment="1">
      <alignment wrapText="1"/>
    </xf>
    <xf numFmtId="168" fontId="15" fillId="0" borderId="11" xfId="569" applyNumberFormat="1" applyBorder="1" applyAlignment="1">
      <alignment horizontal="right"/>
    </xf>
    <xf numFmtId="9" fontId="15" fillId="0" borderId="15" xfId="569" applyNumberFormat="1" applyBorder="1" applyAlignment="1">
      <alignment horizontal="center"/>
    </xf>
    <xf numFmtId="168" fontId="15" fillId="0" borderId="11" xfId="569" applyNumberFormat="1" applyBorder="1" applyAlignment="1">
      <alignment horizontal="center"/>
    </xf>
    <xf numFmtId="0" fontId="15" fillId="0" borderId="11"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22" fillId="0" borderId="6" xfId="569" applyFont="1" applyBorder="1" applyAlignment="1">
      <alignment horizontal="center"/>
    </xf>
    <xf numFmtId="168" fontId="15" fillId="0" borderId="3" xfId="569" applyNumberFormat="1" applyBorder="1" applyAlignment="1">
      <alignment horizontal="center"/>
    </xf>
    <xf numFmtId="0" fontId="15" fillId="0" borderId="4" xfId="569" applyBorder="1" applyAlignment="1">
      <alignment horizontal="center"/>
    </xf>
    <xf numFmtId="0" fontId="15" fillId="0" borderId="5" xfId="569" applyBorder="1" applyAlignment="1">
      <alignment horizontal="center"/>
    </xf>
    <xf numFmtId="0" fontId="106" fillId="0" borderId="0" xfId="569" applyFont="1" applyAlignment="1">
      <alignment horizontal="left" wrapText="1"/>
    </xf>
    <xf numFmtId="168" fontId="15" fillId="0" borderId="3" xfId="569" applyNumberFormat="1" applyBorder="1" applyAlignment="1">
      <alignment horizontal="right"/>
    </xf>
    <xf numFmtId="168" fontId="15" fillId="0" borderId="4" xfId="569" applyNumberFormat="1" applyBorder="1" applyAlignment="1">
      <alignment horizontal="right"/>
    </xf>
    <xf numFmtId="168" fontId="15" fillId="0" borderId="5" xfId="569" applyNumberFormat="1" applyBorder="1" applyAlignment="1">
      <alignment horizontal="right"/>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6" xfId="271" applyFont="1" applyBorder="1" applyAlignment="1">
      <alignment horizontal="center"/>
    </xf>
    <xf numFmtId="168" fontId="15" fillId="0" borderId="4" xfId="569" applyNumberFormat="1" applyBorder="1" applyAlignment="1">
      <alignment horizontal="center"/>
    </xf>
    <xf numFmtId="168" fontId="15" fillId="0" borderId="5" xfId="569" applyNumberFormat="1" applyBorder="1" applyAlignment="1">
      <alignment horizontal="center"/>
    </xf>
    <xf numFmtId="0" fontId="22" fillId="0" borderId="11" xfId="569" applyFont="1" applyBorder="1" applyAlignment="1">
      <alignment horizontal="center" wrapText="1"/>
    </xf>
    <xf numFmtId="0" fontId="22" fillId="0" borderId="11" xfId="569" applyFont="1" applyBorder="1" applyAlignment="1">
      <alignment horizontal="center"/>
    </xf>
    <xf numFmtId="165" fontId="15" fillId="0" borderId="11" xfId="569" applyNumberFormat="1" applyBorder="1" applyAlignment="1" applyProtection="1">
      <alignment horizontal="center"/>
      <protection locked="0"/>
    </xf>
    <xf numFmtId="0" fontId="52" fillId="0" borderId="0" xfId="569" applyFont="1" applyAlignment="1">
      <alignment horizontal="left"/>
    </xf>
    <xf numFmtId="5" fontId="15" fillId="0" borderId="5" xfId="569" applyNumberFormat="1" applyBorder="1" applyAlignment="1">
      <alignment horizontal="center"/>
    </xf>
    <xf numFmtId="5" fontId="15" fillId="0" borderId="11" xfId="569" applyNumberFormat="1" applyBorder="1" applyAlignment="1">
      <alignment horizontal="center"/>
    </xf>
    <xf numFmtId="5" fontId="15" fillId="0" borderId="3" xfId="569" applyNumberFormat="1" applyBorder="1" applyAlignment="1">
      <alignment horizontal="center"/>
    </xf>
    <xf numFmtId="5" fontId="15" fillId="0" borderId="4" xfId="569" applyNumberFormat="1" applyBorder="1" applyAlignment="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9" fontId="15" fillId="0" borderId="5" xfId="569" applyNumberFormat="1" applyBorder="1" applyAlignment="1">
      <alignment horizontal="center"/>
    </xf>
    <xf numFmtId="9" fontId="15" fillId="0" borderId="11" xfId="569" applyNumberFormat="1" applyBorder="1" applyAlignment="1">
      <alignment horizontal="center"/>
    </xf>
    <xf numFmtId="9" fontId="15" fillId="0" borderId="9" xfId="569" applyNumberFormat="1" applyBorder="1" applyAlignment="1">
      <alignment horizontal="center" vertical="center"/>
    </xf>
    <xf numFmtId="9" fontId="15" fillId="0" borderId="6" xfId="569" applyNumberFormat="1" applyBorder="1" applyAlignment="1">
      <alignment horizontal="center" vertical="center"/>
    </xf>
    <xf numFmtId="9" fontId="15" fillId="0" borderId="10" xfId="569" applyNumberFormat="1" applyBorder="1" applyAlignment="1">
      <alignment horizontal="center" vertical="center"/>
    </xf>
    <xf numFmtId="168" fontId="15" fillId="2" borderId="3" xfId="569" applyNumberFormat="1" applyFill="1" applyBorder="1" applyAlignment="1">
      <alignment horizontal="center"/>
    </xf>
    <xf numFmtId="168" fontId="15" fillId="2" borderId="4" xfId="569" applyNumberFormat="1" applyFill="1" applyBorder="1" applyAlignment="1">
      <alignment horizontal="center"/>
    </xf>
    <xf numFmtId="168" fontId="15" fillId="2" borderId="5" xfId="569" applyNumberFormat="1" applyFill="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168" fontId="15" fillId="0" borderId="7" xfId="569" applyNumberFormat="1" applyBorder="1" applyAlignment="1">
      <alignment horizontal="center"/>
    </xf>
    <xf numFmtId="168" fontId="15" fillId="0" borderId="15" xfId="569" applyNumberFormat="1" applyBorder="1" applyAlignment="1">
      <alignment horizontal="center"/>
    </xf>
    <xf numFmtId="0" fontId="22" fillId="0" borderId="3" xfId="569" applyFont="1" applyBorder="1" applyAlignment="1">
      <alignment horizontal="left"/>
    </xf>
    <xf numFmtId="0" fontId="22" fillId="0" borderId="5" xfId="569" applyFont="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179" fontId="22" fillId="0" borderId="0" xfId="569" applyNumberFormat="1" applyFont="1" applyAlignment="1">
      <alignment horizontal="center" wrapText="1"/>
    </xf>
    <xf numFmtId="164" fontId="22" fillId="0" borderId="0" xfId="569" applyNumberFormat="1" applyFont="1" applyAlignment="1">
      <alignment horizontal="center" wrapText="1"/>
    </xf>
    <xf numFmtId="0" fontId="15" fillId="0" borderId="3" xfId="569" applyBorder="1" applyAlignment="1">
      <alignment horizontal="right"/>
    </xf>
    <xf numFmtId="0" fontId="15" fillId="0" borderId="4" xfId="569" applyBorder="1" applyAlignment="1">
      <alignment horizontal="right"/>
    </xf>
    <xf numFmtId="0" fontId="15" fillId="0" borderId="5" xfId="569"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0" fillId="0" borderId="6" xfId="271" applyFont="1" applyBorder="1" applyAlignment="1">
      <alignment horizontal="center"/>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3" borderId="0" xfId="0" applyFont="1" applyFill="1" applyAlignment="1">
      <alignment horizontal="left"/>
    </xf>
  </cellXfs>
  <cellStyles count="17164">
    <cellStyle name="20% - Accent1" xfId="1" builtinId="30" customBuiltin="1"/>
    <cellStyle name="20% - Accent1 10" xfId="4505" xr:uid="{00000000-0005-0000-0000-000001000000}"/>
    <cellStyle name="20% - Accent1 10 2" xfId="12947" xr:uid="{1EB4321D-4F51-4815-AC21-E1DFBA7CA3E3}"/>
    <cellStyle name="20% - Accent1 11" xfId="8729" xr:uid="{C8E0191E-CDE4-4D5C-9EB6-742201F4E749}"/>
    <cellStyle name="20% - Accent1 2" xfId="2" xr:uid="{00000000-0005-0000-0000-000002000000}"/>
    <cellStyle name="20% - Accent1 2 10" xfId="8730" xr:uid="{C628980F-377D-4B00-ACB6-1365B8A7E65F}"/>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AE7EA619-FC2E-47BD-B880-B66942D8375C}"/>
    <cellStyle name="20% - Accent1 2 2 2 2 2 3" xfId="11291" xr:uid="{1945FBCF-5982-4549-B5FA-C7D3A774F8DE}"/>
    <cellStyle name="20% - Accent1 2 2 2 2 3" xfId="4922" xr:uid="{00000000-0005-0000-0000-000008000000}"/>
    <cellStyle name="20% - Accent1 2 2 2 2 3 2" xfId="13364" xr:uid="{3D04AA1E-0533-4698-A5CF-94EEFFEE9883}"/>
    <cellStyle name="20% - Accent1 2 2 2 2 4" xfId="9146" xr:uid="{8AA82A21-4B52-4A09-B2C7-D84A57F798FD}"/>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D18F6ADE-8880-47D4-94EB-60D14332859D}"/>
    <cellStyle name="20% - Accent1 2 2 2 3 2 3" xfId="11704" xr:uid="{19909F7A-3818-4B6F-B876-C5FAF2F5139E}"/>
    <cellStyle name="20% - Accent1 2 2 2 3 3" xfId="5335" xr:uid="{00000000-0005-0000-0000-00000C000000}"/>
    <cellStyle name="20% - Accent1 2 2 2 3 3 2" xfId="13777" xr:uid="{4DF45C40-6FD3-4AD4-9D3F-BEC9CA2099F4}"/>
    <cellStyle name="20% - Accent1 2 2 2 3 4" xfId="9559" xr:uid="{2E24C427-3E0E-48CC-B7E9-70C0973304EB}"/>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954A4FCD-0B22-47E9-8FA2-4E4300D68D0C}"/>
    <cellStyle name="20% - Accent1 2 2 2 4 2 3" xfId="12117" xr:uid="{33BEC40B-2064-4618-98C1-B16D9A7CDB99}"/>
    <cellStyle name="20% - Accent1 2 2 2 4 3" xfId="5748" xr:uid="{00000000-0005-0000-0000-000010000000}"/>
    <cellStyle name="20% - Accent1 2 2 2 4 3 2" xfId="14190" xr:uid="{131DE1B6-B877-4071-A014-606EDA032DE3}"/>
    <cellStyle name="20% - Accent1 2 2 2 4 4" xfId="9972" xr:uid="{FFB9A9E9-DDD2-4594-9C1F-5CDFD24D66EE}"/>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6E2D5F83-E732-4773-BAEC-10927B195DBA}"/>
    <cellStyle name="20% - Accent1 2 2 2 5 2 3" xfId="12530" xr:uid="{1CE69168-87D0-401D-B887-BA8ECB64C12A}"/>
    <cellStyle name="20% - Accent1 2 2 2 5 3" xfId="6161" xr:uid="{00000000-0005-0000-0000-000014000000}"/>
    <cellStyle name="20% - Accent1 2 2 2 5 3 2" xfId="14603" xr:uid="{A2F5E6C2-BF44-451C-8794-E2D215DE30C2}"/>
    <cellStyle name="20% - Accent1 2 2 2 5 4" xfId="10385" xr:uid="{79FDCE92-10C8-4D47-8A93-F9DF503B97D3}"/>
    <cellStyle name="20% - Accent1 2 2 2 6" xfId="2267" xr:uid="{00000000-0005-0000-0000-000015000000}"/>
    <cellStyle name="20% - Accent1 2 2 2 6 2" xfId="6574" xr:uid="{00000000-0005-0000-0000-000016000000}"/>
    <cellStyle name="20% - Accent1 2 2 2 6 2 2" xfId="15016" xr:uid="{299B28C0-ABE6-4AC3-8B2D-761E40DFBDCD}"/>
    <cellStyle name="20% - Accent1 2 2 2 6 3" xfId="10798" xr:uid="{7473B550-6B61-4EBE-B1B2-5C4E803A4488}"/>
    <cellStyle name="20% - Accent1 2 2 2 7" xfId="4508" xr:uid="{00000000-0005-0000-0000-000017000000}"/>
    <cellStyle name="20% - Accent1 2 2 2 7 2" xfId="12950" xr:uid="{85794817-1781-433A-98C4-C1AB3B8E0D52}"/>
    <cellStyle name="20% - Accent1 2 2 2 8" xfId="8732" xr:uid="{A7869114-15B8-4818-94CA-4C87E3A8713E}"/>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01FB051E-F448-4C18-B5A2-4FCB07372D33}"/>
    <cellStyle name="20% - Accent1 2 2 3 2 3" xfId="11290" xr:uid="{AA669DA8-76F6-4F09-A368-64B8259912A7}"/>
    <cellStyle name="20% - Accent1 2 2 3 3" xfId="4921" xr:uid="{00000000-0005-0000-0000-00001B000000}"/>
    <cellStyle name="20% - Accent1 2 2 3 3 2" xfId="13363" xr:uid="{1073F54A-8B27-4B2A-B019-02A11CD246B2}"/>
    <cellStyle name="20% - Accent1 2 2 3 4" xfId="9145" xr:uid="{9D6D8C83-0FD1-4B51-B8C6-1D43F9C39D7F}"/>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25F48499-2C4C-45C9-9BFD-4547C883B9F1}"/>
    <cellStyle name="20% - Accent1 2 2 4 2 3" xfId="11703" xr:uid="{38F9692C-F1C4-4EAD-9EE3-D188E423061F}"/>
    <cellStyle name="20% - Accent1 2 2 4 3" xfId="5334" xr:uid="{00000000-0005-0000-0000-00001F000000}"/>
    <cellStyle name="20% - Accent1 2 2 4 3 2" xfId="13776" xr:uid="{9CF359BC-F9AE-4D61-A92D-C9E5E00145FC}"/>
    <cellStyle name="20% - Accent1 2 2 4 4" xfId="9558" xr:uid="{66566ECA-10CD-4EC3-93F7-E9A2A9351D65}"/>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37115D50-0299-4EA7-AFB4-61D80CACD317}"/>
    <cellStyle name="20% - Accent1 2 2 5 2 3" xfId="12116" xr:uid="{5153AD69-C8BD-4066-A6F0-110AE7A52AF7}"/>
    <cellStyle name="20% - Accent1 2 2 5 3" xfId="5747" xr:uid="{00000000-0005-0000-0000-000023000000}"/>
    <cellStyle name="20% - Accent1 2 2 5 3 2" xfId="14189" xr:uid="{E015E959-A1D7-4720-917A-A6A342FB8595}"/>
    <cellStyle name="20% - Accent1 2 2 5 4" xfId="9971" xr:uid="{517AC478-5727-4A38-B7F1-9E02C7CFB928}"/>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E3FAA741-C10D-4CD6-9260-FB33EC164DCC}"/>
    <cellStyle name="20% - Accent1 2 2 6 2 3" xfId="12529" xr:uid="{9B84696F-109E-4B14-960C-41F5DD7B47EC}"/>
    <cellStyle name="20% - Accent1 2 2 6 3" xfId="6160" xr:uid="{00000000-0005-0000-0000-000027000000}"/>
    <cellStyle name="20% - Accent1 2 2 6 3 2" xfId="14602" xr:uid="{B2116D2B-68DF-4839-A4C4-9D563AE1F512}"/>
    <cellStyle name="20% - Accent1 2 2 6 4" xfId="10384" xr:uid="{A7EE2407-DF0B-4121-BB6D-2AA4A15EC8F5}"/>
    <cellStyle name="20% - Accent1 2 2 7" xfId="2266" xr:uid="{00000000-0005-0000-0000-000028000000}"/>
    <cellStyle name="20% - Accent1 2 2 7 2" xfId="6573" xr:uid="{00000000-0005-0000-0000-000029000000}"/>
    <cellStyle name="20% - Accent1 2 2 7 2 2" xfId="15015" xr:uid="{58F71C31-42E1-41CC-91CD-2CF6BEFDBB90}"/>
    <cellStyle name="20% - Accent1 2 2 7 3" xfId="10797" xr:uid="{D2DF1C73-0297-493B-9ACE-D5FD00F49597}"/>
    <cellStyle name="20% - Accent1 2 2 8" xfId="4507" xr:uid="{00000000-0005-0000-0000-00002A000000}"/>
    <cellStyle name="20% - Accent1 2 2 8 2" xfId="12949" xr:uid="{29BB25BD-E9B2-4F22-A0B4-E5C56D814EC0}"/>
    <cellStyle name="20% - Accent1 2 2 9" xfId="8731" xr:uid="{F1B58D9F-97ED-4501-BDAE-2771AE7B4A2D}"/>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6350641D-51A7-4F64-84FF-6A78A37F21B7}"/>
    <cellStyle name="20% - Accent1 2 3 2 2 3" xfId="11292" xr:uid="{59691119-C148-478B-96AD-8DEC8BD34227}"/>
    <cellStyle name="20% - Accent1 2 3 2 3" xfId="4923" xr:uid="{00000000-0005-0000-0000-00002F000000}"/>
    <cellStyle name="20% - Accent1 2 3 2 3 2" xfId="13365" xr:uid="{0ABD0188-D035-44AE-9198-0FEFEC8E739C}"/>
    <cellStyle name="20% - Accent1 2 3 2 4" xfId="9147" xr:uid="{64F16C0C-ED32-48D4-A1C5-C3B6A2213575}"/>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801E5CFB-0BE9-41ED-AC19-11B81222161C}"/>
    <cellStyle name="20% - Accent1 2 3 3 2 3" xfId="11705" xr:uid="{81223F3F-EECC-45F1-9465-191C340B8E6E}"/>
    <cellStyle name="20% - Accent1 2 3 3 3" xfId="5336" xr:uid="{00000000-0005-0000-0000-000033000000}"/>
    <cellStyle name="20% - Accent1 2 3 3 3 2" xfId="13778" xr:uid="{58B38E6C-ADD3-4491-8440-0793C9041E6C}"/>
    <cellStyle name="20% - Accent1 2 3 3 4" xfId="9560" xr:uid="{080F8A2F-2A8A-4747-B299-74BD10CF9F69}"/>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69686980-86D7-4AC4-BDCF-8FDE703177A5}"/>
    <cellStyle name="20% - Accent1 2 3 4 2 3" xfId="12118" xr:uid="{6C86517E-B3EB-4F7C-B531-2C9F04DD1DAD}"/>
    <cellStyle name="20% - Accent1 2 3 4 3" xfId="5749" xr:uid="{00000000-0005-0000-0000-000037000000}"/>
    <cellStyle name="20% - Accent1 2 3 4 3 2" xfId="14191" xr:uid="{F1777487-E19F-494A-B1D9-3E66D0F90900}"/>
    <cellStyle name="20% - Accent1 2 3 4 4" xfId="9973" xr:uid="{337A5BE4-99FA-4C28-833F-5725E002C5F9}"/>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B5EC1B47-0027-4690-8F46-97A34D57634A}"/>
    <cellStyle name="20% - Accent1 2 3 5 2 3" xfId="12531" xr:uid="{421265B5-3B99-47E3-80D2-9686404986C7}"/>
    <cellStyle name="20% - Accent1 2 3 5 3" xfId="6162" xr:uid="{00000000-0005-0000-0000-00003B000000}"/>
    <cellStyle name="20% - Accent1 2 3 5 3 2" xfId="14604" xr:uid="{35BD0BF5-E69C-4BF2-A596-7C3FABF95012}"/>
    <cellStyle name="20% - Accent1 2 3 5 4" xfId="10386" xr:uid="{8CEE5B29-E655-4955-8FFC-1C06CF7887E5}"/>
    <cellStyle name="20% - Accent1 2 3 6" xfId="2268" xr:uid="{00000000-0005-0000-0000-00003C000000}"/>
    <cellStyle name="20% - Accent1 2 3 6 2" xfId="6575" xr:uid="{00000000-0005-0000-0000-00003D000000}"/>
    <cellStyle name="20% - Accent1 2 3 6 2 2" xfId="15017" xr:uid="{FC07A26B-F715-42CC-AFBB-9CCFA3BFFF0D}"/>
    <cellStyle name="20% - Accent1 2 3 6 3" xfId="10799" xr:uid="{D3A7962F-9CC2-481B-8DAD-4F679271955A}"/>
    <cellStyle name="20% - Accent1 2 3 7" xfId="4509" xr:uid="{00000000-0005-0000-0000-00003E000000}"/>
    <cellStyle name="20% - Accent1 2 3 7 2" xfId="12951" xr:uid="{84DACAD7-0463-4A03-9D34-6B51A434A72A}"/>
    <cellStyle name="20% - Accent1 2 3 8" xfId="8733" xr:uid="{BDB4D796-F91E-48E3-B613-6B91F7383E3D}"/>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EC5A7C3E-E309-4C60-8D99-D650CCEAA7F3}"/>
    <cellStyle name="20% - Accent1 2 4 2 3" xfId="11289" xr:uid="{047E959D-4226-46E1-AC1B-6EA2BA08B539}"/>
    <cellStyle name="20% - Accent1 2 4 3" xfId="4920" xr:uid="{00000000-0005-0000-0000-000042000000}"/>
    <cellStyle name="20% - Accent1 2 4 3 2" xfId="13362" xr:uid="{86BCA5D4-BB3B-41D8-A1CB-B719ECDD6E91}"/>
    <cellStyle name="20% - Accent1 2 4 4" xfId="9144" xr:uid="{FF920915-C626-414F-A9F8-36DF8A619C24}"/>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4A69B987-3EBE-4FF6-974B-D2AA93CA6E2C}"/>
    <cellStyle name="20% - Accent1 2 5 2 3" xfId="11702" xr:uid="{BF4FAA5A-71AD-413F-96AE-186B4F4B2A9F}"/>
    <cellStyle name="20% - Accent1 2 5 3" xfId="5333" xr:uid="{00000000-0005-0000-0000-000046000000}"/>
    <cellStyle name="20% - Accent1 2 5 3 2" xfId="13775" xr:uid="{02ACA30F-72F4-4DDC-95B9-D17D85D54930}"/>
    <cellStyle name="20% - Accent1 2 5 4" xfId="9557" xr:uid="{9418E6E0-6CE3-4646-851D-5A29F812E2A1}"/>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701B75CD-F614-4BE5-BEA6-E55C447B506D}"/>
    <cellStyle name="20% - Accent1 2 6 2 3" xfId="12115" xr:uid="{91CD260B-4F25-4E3D-A103-77EC91762AD4}"/>
    <cellStyle name="20% - Accent1 2 6 3" xfId="5746" xr:uid="{00000000-0005-0000-0000-00004A000000}"/>
    <cellStyle name="20% - Accent1 2 6 3 2" xfId="14188" xr:uid="{E772999C-86AF-463C-B666-E8AAEE180F0A}"/>
    <cellStyle name="20% - Accent1 2 6 4" xfId="9970" xr:uid="{BA392A1D-D687-42A0-9DA4-10BEC195D6EE}"/>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A97F7E43-4C2B-4E74-8CDC-B67FD99EF1AD}"/>
    <cellStyle name="20% - Accent1 2 7 2 3" xfId="12528" xr:uid="{5F1BD17D-F469-47D6-9047-04E73B4C141B}"/>
    <cellStyle name="20% - Accent1 2 7 3" xfId="6159" xr:uid="{00000000-0005-0000-0000-00004E000000}"/>
    <cellStyle name="20% - Accent1 2 7 3 2" xfId="14601" xr:uid="{4761DA95-C2E4-4B35-8C8D-529CD0DFA778}"/>
    <cellStyle name="20% - Accent1 2 7 4" xfId="10383" xr:uid="{A9CA3BF7-1BAA-4096-B830-83D08831985B}"/>
    <cellStyle name="20% - Accent1 2 8" xfId="2265" xr:uid="{00000000-0005-0000-0000-00004F000000}"/>
    <cellStyle name="20% - Accent1 2 8 2" xfId="6572" xr:uid="{00000000-0005-0000-0000-000050000000}"/>
    <cellStyle name="20% - Accent1 2 8 2 2" xfId="15014" xr:uid="{D097E3A0-DCD3-49EF-A0CC-D07B6DB322DF}"/>
    <cellStyle name="20% - Accent1 2 8 3" xfId="10796" xr:uid="{FC4C7BBC-5A74-4C9C-9241-A98164C62AFB}"/>
    <cellStyle name="20% - Accent1 2 9" xfId="4506" xr:uid="{00000000-0005-0000-0000-000051000000}"/>
    <cellStyle name="20% - Accent1 2 9 2" xfId="12948" xr:uid="{2C943CEE-8747-4B12-8601-3204ECD0706F}"/>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9468130C-7F50-47A5-B949-D5EEAA1F0EBA}"/>
    <cellStyle name="20% - Accent1 3 2 2 2 3" xfId="11294" xr:uid="{4E0A6EAB-18AC-477E-9C0D-D63A6EA7A48A}"/>
    <cellStyle name="20% - Accent1 3 2 2 3" xfId="4925" xr:uid="{00000000-0005-0000-0000-000057000000}"/>
    <cellStyle name="20% - Accent1 3 2 2 3 2" xfId="13367" xr:uid="{8AC15FA0-ABA7-4B35-B99E-1FD90EF37043}"/>
    <cellStyle name="20% - Accent1 3 2 2 4" xfId="9149" xr:uid="{90ED78B8-3CD4-4BB3-8030-ED97DDA8C6C0}"/>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48A9DB89-64B4-4A64-ADB1-FC4F108F77DC}"/>
    <cellStyle name="20% - Accent1 3 2 3 2 3" xfId="11707" xr:uid="{DB065F5B-0110-40C5-8166-9363C079AED6}"/>
    <cellStyle name="20% - Accent1 3 2 3 3" xfId="5338" xr:uid="{00000000-0005-0000-0000-00005B000000}"/>
    <cellStyle name="20% - Accent1 3 2 3 3 2" xfId="13780" xr:uid="{9A957263-D196-468B-BCCC-3E8A3C52F11B}"/>
    <cellStyle name="20% - Accent1 3 2 3 4" xfId="9562" xr:uid="{1BA46D65-A22E-444E-804A-8C494CB711D7}"/>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DD698EAE-1E7C-4E05-9C83-E85B4C1A8FB9}"/>
    <cellStyle name="20% - Accent1 3 2 4 2 3" xfId="12120" xr:uid="{F80BEA5F-D663-498A-A725-FCFD7049D7C0}"/>
    <cellStyle name="20% - Accent1 3 2 4 3" xfId="5751" xr:uid="{00000000-0005-0000-0000-00005F000000}"/>
    <cellStyle name="20% - Accent1 3 2 4 3 2" xfId="14193" xr:uid="{3F5AB63E-BBF0-48D0-B307-D5E22A2CD206}"/>
    <cellStyle name="20% - Accent1 3 2 4 4" xfId="9975" xr:uid="{C7EEC9C3-5D5C-4AA3-8328-92A03082CFF9}"/>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9869B49A-9641-42B9-ABAC-A4F3D9C75C28}"/>
    <cellStyle name="20% - Accent1 3 2 5 2 3" xfId="12533" xr:uid="{1B29BAA2-D83C-4AA1-A565-C204D3C05A42}"/>
    <cellStyle name="20% - Accent1 3 2 5 3" xfId="6164" xr:uid="{00000000-0005-0000-0000-000063000000}"/>
    <cellStyle name="20% - Accent1 3 2 5 3 2" xfId="14606" xr:uid="{95F04062-1E0F-4F8F-90D9-B56BA602541B}"/>
    <cellStyle name="20% - Accent1 3 2 5 4" xfId="10388" xr:uid="{D980DDD9-62B8-4D20-BA87-C6B6FCC3DBF6}"/>
    <cellStyle name="20% - Accent1 3 2 6" xfId="2270" xr:uid="{00000000-0005-0000-0000-000064000000}"/>
    <cellStyle name="20% - Accent1 3 2 6 2" xfId="6577" xr:uid="{00000000-0005-0000-0000-000065000000}"/>
    <cellStyle name="20% - Accent1 3 2 6 2 2" xfId="15019" xr:uid="{A8D10B52-4138-4FBD-84EE-41E040BFF5F3}"/>
    <cellStyle name="20% - Accent1 3 2 6 3" xfId="10801" xr:uid="{5DBECCD3-D650-4A09-9CEF-5549A155E4C0}"/>
    <cellStyle name="20% - Accent1 3 2 7" xfId="4511" xr:uid="{00000000-0005-0000-0000-000066000000}"/>
    <cellStyle name="20% - Accent1 3 2 7 2" xfId="12953" xr:uid="{61160CAF-C9B8-49BE-A691-91190B764184}"/>
    <cellStyle name="20% - Accent1 3 2 8" xfId="8735" xr:uid="{8C2039DA-CF7A-4441-ADF8-800D36FC10C2}"/>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F917F89A-86E8-432D-91E9-02619D2D0594}"/>
    <cellStyle name="20% - Accent1 3 3 2 3" xfId="11293" xr:uid="{43421895-2887-48BF-92CD-1CC155CFE118}"/>
    <cellStyle name="20% - Accent1 3 3 3" xfId="4924" xr:uid="{00000000-0005-0000-0000-00006A000000}"/>
    <cellStyle name="20% - Accent1 3 3 3 2" xfId="13366" xr:uid="{8D3983A6-3AB6-469A-874C-49814CEDB78A}"/>
    <cellStyle name="20% - Accent1 3 3 4" xfId="9148" xr:uid="{D13BC563-9538-41DB-B61E-0A3054EF843B}"/>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D0385669-7628-4A70-BC76-83F3E259831C}"/>
    <cellStyle name="20% - Accent1 3 4 2 3" xfId="11706" xr:uid="{E3D62A73-8DBC-46DE-9675-F659EEC9DAC5}"/>
    <cellStyle name="20% - Accent1 3 4 3" xfId="5337" xr:uid="{00000000-0005-0000-0000-00006E000000}"/>
    <cellStyle name="20% - Accent1 3 4 3 2" xfId="13779" xr:uid="{CC99D972-B328-45FB-8989-7713DA68A161}"/>
    <cellStyle name="20% - Accent1 3 4 4" xfId="9561" xr:uid="{A0F0A386-1539-4F72-9592-6DFCE302C626}"/>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658F56E9-62D0-459D-AED1-7B27BC48230E}"/>
    <cellStyle name="20% - Accent1 3 5 2 3" xfId="12119" xr:uid="{4E83F15D-723C-4E07-AB91-7B6CC84324E5}"/>
    <cellStyle name="20% - Accent1 3 5 3" xfId="5750" xr:uid="{00000000-0005-0000-0000-000072000000}"/>
    <cellStyle name="20% - Accent1 3 5 3 2" xfId="14192" xr:uid="{B3682D78-ACA6-49CC-A055-32E85AC0A854}"/>
    <cellStyle name="20% - Accent1 3 5 4" xfId="9974" xr:uid="{189EF46A-B1D2-4BC3-98D9-64A800C51BFE}"/>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C0D4CBB9-A5BC-4BC7-A82B-6A3A9A90D1F1}"/>
    <cellStyle name="20% - Accent1 3 6 2 3" xfId="12532" xr:uid="{3D9F0B9D-3527-40D9-AF53-D230C1DBCF10}"/>
    <cellStyle name="20% - Accent1 3 6 3" xfId="6163" xr:uid="{00000000-0005-0000-0000-000076000000}"/>
    <cellStyle name="20% - Accent1 3 6 3 2" xfId="14605" xr:uid="{D125934F-0F40-4D83-8B5F-C5FFBED1692B}"/>
    <cellStyle name="20% - Accent1 3 6 4" xfId="10387" xr:uid="{B23E5BEE-2352-486F-A363-EDB094CC6906}"/>
    <cellStyle name="20% - Accent1 3 7" xfId="2269" xr:uid="{00000000-0005-0000-0000-000077000000}"/>
    <cellStyle name="20% - Accent1 3 7 2" xfId="6576" xr:uid="{00000000-0005-0000-0000-000078000000}"/>
    <cellStyle name="20% - Accent1 3 7 2 2" xfId="15018" xr:uid="{F5CB120D-4F73-4F02-A9AC-53A087366B15}"/>
    <cellStyle name="20% - Accent1 3 7 3" xfId="10800" xr:uid="{E1D0AD70-126B-4557-B1E7-11DD8409CC24}"/>
    <cellStyle name="20% - Accent1 3 8" xfId="4510" xr:uid="{00000000-0005-0000-0000-000079000000}"/>
    <cellStyle name="20% - Accent1 3 8 2" xfId="12952" xr:uid="{A1AEC68E-6AE8-47FF-8784-35363C286574}"/>
    <cellStyle name="20% - Accent1 3 9" xfId="8734" xr:uid="{6B040E6E-CBDD-4302-967D-E15027F2DDFB}"/>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2351EA58-88D6-40A5-A4DC-F8BC45DE65E9}"/>
    <cellStyle name="20% - Accent1 4 2 2 3" xfId="11295" xr:uid="{0B7AC740-CBED-442E-BC9E-D70001A4E55F}"/>
    <cellStyle name="20% - Accent1 4 2 3" xfId="4926" xr:uid="{00000000-0005-0000-0000-00007E000000}"/>
    <cellStyle name="20% - Accent1 4 2 3 2" xfId="13368" xr:uid="{0374E903-567B-4A24-A4A8-3BEEF04C55FF}"/>
    <cellStyle name="20% - Accent1 4 2 4" xfId="9150" xr:uid="{C3A54BDF-7AB0-4A53-930C-FD3E7B9A1D74}"/>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48F9DBFA-ADC1-46AA-8C0A-ABDC8BC04410}"/>
    <cellStyle name="20% - Accent1 4 3 2 3" xfId="11708" xr:uid="{38093C36-0DE8-46CE-8A0A-B0D5B04B4C52}"/>
    <cellStyle name="20% - Accent1 4 3 3" xfId="5339" xr:uid="{00000000-0005-0000-0000-000082000000}"/>
    <cellStyle name="20% - Accent1 4 3 3 2" xfId="13781" xr:uid="{39858D12-25C9-42EE-879A-30E3BDE5FEBC}"/>
    <cellStyle name="20% - Accent1 4 3 4" xfId="9563" xr:uid="{132913F8-EDED-4D21-ACB2-1952BDAD238E}"/>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C7D787DA-D453-4C00-B037-E3896D026E97}"/>
    <cellStyle name="20% - Accent1 4 4 2 3" xfId="12121" xr:uid="{44BBB19A-C7D6-4EF8-B69F-7DA7E2710383}"/>
    <cellStyle name="20% - Accent1 4 4 3" xfId="5752" xr:uid="{00000000-0005-0000-0000-000086000000}"/>
    <cellStyle name="20% - Accent1 4 4 3 2" xfId="14194" xr:uid="{E2F1C8CF-96E5-40FE-A715-D31553EDBD43}"/>
    <cellStyle name="20% - Accent1 4 4 4" xfId="9976" xr:uid="{816A5E26-0BCE-41E7-B8A8-CB976B617102}"/>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C5D4608B-263F-4CA6-B0FC-13D66B8CB818}"/>
    <cellStyle name="20% - Accent1 4 5 2 3" xfId="12534" xr:uid="{9A72A187-93E6-47C2-80E2-6EA714936C56}"/>
    <cellStyle name="20% - Accent1 4 5 3" xfId="6165" xr:uid="{00000000-0005-0000-0000-00008A000000}"/>
    <cellStyle name="20% - Accent1 4 5 3 2" xfId="14607" xr:uid="{A68A73BD-A824-478A-9BDF-3773438E26CC}"/>
    <cellStyle name="20% - Accent1 4 5 4" xfId="10389" xr:uid="{08723FAA-0772-4669-8450-A9001C63BB24}"/>
    <cellStyle name="20% - Accent1 4 6" xfId="2271" xr:uid="{00000000-0005-0000-0000-00008B000000}"/>
    <cellStyle name="20% - Accent1 4 6 2" xfId="6578" xr:uid="{00000000-0005-0000-0000-00008C000000}"/>
    <cellStyle name="20% - Accent1 4 6 2 2" xfId="15020" xr:uid="{AE16CC10-858F-4300-B479-E5A95DCB12A0}"/>
    <cellStyle name="20% - Accent1 4 6 3" xfId="10802" xr:uid="{8045F41A-7A1D-4382-9C99-F6751403FE49}"/>
    <cellStyle name="20% - Accent1 4 7" xfId="4512" xr:uid="{00000000-0005-0000-0000-00008D000000}"/>
    <cellStyle name="20% - Accent1 4 7 2" xfId="12954" xr:uid="{FEF579AC-9966-4A5C-948A-5A65C94276BF}"/>
    <cellStyle name="20% - Accent1 4 8" xfId="8736" xr:uid="{B4BAF593-4311-4E9F-AD10-E958E2F69BE9}"/>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A54A0E73-4F76-47D6-BCA2-F84D224EB330}"/>
    <cellStyle name="20% - Accent1 5 2 3" xfId="11288" xr:uid="{47633703-B274-4351-AF85-9B9FDBC7AFD3}"/>
    <cellStyle name="20% - Accent1 5 3" xfId="4919" xr:uid="{00000000-0005-0000-0000-000091000000}"/>
    <cellStyle name="20% - Accent1 5 3 2" xfId="13361" xr:uid="{0527FA41-3E5D-419D-81A0-04A9A3DB9074}"/>
    <cellStyle name="20% - Accent1 5 4" xfId="9143" xr:uid="{291A9980-6C3D-4945-B4C0-1C70EF38E0A0}"/>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00075C3E-FF99-4B6B-BA5F-123CB8D8C56A}"/>
    <cellStyle name="20% - Accent1 6 2 3" xfId="11701" xr:uid="{D563215C-0C55-4C10-8C77-FDB202291BD5}"/>
    <cellStyle name="20% - Accent1 6 3" xfId="5332" xr:uid="{00000000-0005-0000-0000-000095000000}"/>
    <cellStyle name="20% - Accent1 6 3 2" xfId="13774" xr:uid="{02BEEFE0-B557-4FE5-A5AD-B6315B5AC5B1}"/>
    <cellStyle name="20% - Accent1 6 4" xfId="9556" xr:uid="{EB294F14-1AA9-4B43-A66D-D215D21332CD}"/>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BA6A6838-C651-4213-B50C-E9BAFDD1CEE1}"/>
    <cellStyle name="20% - Accent1 7 2 3" xfId="12114" xr:uid="{988DBC15-1B56-4D49-9FBC-75961DA46BDF}"/>
    <cellStyle name="20% - Accent1 7 3" xfId="5745" xr:uid="{00000000-0005-0000-0000-000099000000}"/>
    <cellStyle name="20% - Accent1 7 3 2" xfId="14187" xr:uid="{E350BDBD-FF50-4E2C-B995-8EEB3A62DAC8}"/>
    <cellStyle name="20% - Accent1 7 4" xfId="9969" xr:uid="{A5EE2444-3DC8-46B1-B016-745C66558943}"/>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58523532-5DB7-48AB-A97D-83CD4C798BCD}"/>
    <cellStyle name="20% - Accent1 8 2 3" xfId="12527" xr:uid="{F6F5291E-06E5-4877-8A16-CF889B1532BC}"/>
    <cellStyle name="20% - Accent1 8 3" xfId="6158" xr:uid="{00000000-0005-0000-0000-00009D000000}"/>
    <cellStyle name="20% - Accent1 8 3 2" xfId="14600" xr:uid="{6077198E-3A10-4B08-ADD5-A9A03D1E77BA}"/>
    <cellStyle name="20% - Accent1 8 4" xfId="10382" xr:uid="{809ABCEC-B7DD-4003-8D7B-86991A1D3168}"/>
    <cellStyle name="20% - Accent1 9" xfId="2264" xr:uid="{00000000-0005-0000-0000-00009E000000}"/>
    <cellStyle name="20% - Accent1 9 2" xfId="6571" xr:uid="{00000000-0005-0000-0000-00009F000000}"/>
    <cellStyle name="20% - Accent1 9 2 2" xfId="15013" xr:uid="{A3B17D73-061F-4E0E-9343-EA08A32BBC8B}"/>
    <cellStyle name="20% - Accent1 9 3" xfId="10795" xr:uid="{CB11D6EA-F518-4EB4-98DD-2B41EBFE441F}"/>
    <cellStyle name="20% - Accent2" xfId="9" builtinId="34" customBuiltin="1"/>
    <cellStyle name="20% - Accent2 10" xfId="4513" xr:uid="{00000000-0005-0000-0000-0000A1000000}"/>
    <cellStyle name="20% - Accent2 10 2" xfId="12955" xr:uid="{8A93646B-F486-4041-8209-F0E87555D731}"/>
    <cellStyle name="20% - Accent2 11" xfId="8737" xr:uid="{5BD3E619-DD6E-4587-BE0D-58C9669D69A6}"/>
    <cellStyle name="20% - Accent2 2" xfId="10" xr:uid="{00000000-0005-0000-0000-0000A2000000}"/>
    <cellStyle name="20% - Accent2 2 10" xfId="8738" xr:uid="{44B26842-3A3D-49E4-8DD7-4B2C0F505992}"/>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14D40E1D-C6A6-496C-A923-2A854329D2D0}"/>
    <cellStyle name="20% - Accent2 2 2 2 2 2 3" xfId="11299" xr:uid="{86F317C5-5C6B-4BA7-BA9D-4C0D45CA216B}"/>
    <cellStyle name="20% - Accent2 2 2 2 2 3" xfId="4930" xr:uid="{00000000-0005-0000-0000-0000A8000000}"/>
    <cellStyle name="20% - Accent2 2 2 2 2 3 2" xfId="13372" xr:uid="{5BF8336D-A059-4656-9929-E953B4C4E6DD}"/>
    <cellStyle name="20% - Accent2 2 2 2 2 4" xfId="9154" xr:uid="{2D65B8A9-0949-4E06-BE5B-5FE65862AAE9}"/>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D3B0BAA2-0B1A-4859-A894-8FE62C71A599}"/>
    <cellStyle name="20% - Accent2 2 2 2 3 2 3" xfId="11712" xr:uid="{5407DBFD-EBDA-417F-96D9-BAEF49327577}"/>
    <cellStyle name="20% - Accent2 2 2 2 3 3" xfId="5343" xr:uid="{00000000-0005-0000-0000-0000AC000000}"/>
    <cellStyle name="20% - Accent2 2 2 2 3 3 2" xfId="13785" xr:uid="{E8F6023C-67FD-46EE-9659-5EF470B3CC40}"/>
    <cellStyle name="20% - Accent2 2 2 2 3 4" xfId="9567" xr:uid="{25FE0143-953F-41C2-BEE5-A25B35B20322}"/>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72C78C91-0A65-4842-B484-1CE3EFE79EAF}"/>
    <cellStyle name="20% - Accent2 2 2 2 4 2 3" xfId="12125" xr:uid="{451ADB2A-D2A8-4BFC-AB11-6FF4AF011EA9}"/>
    <cellStyle name="20% - Accent2 2 2 2 4 3" xfId="5756" xr:uid="{00000000-0005-0000-0000-0000B0000000}"/>
    <cellStyle name="20% - Accent2 2 2 2 4 3 2" xfId="14198" xr:uid="{47A4C772-7815-4D1A-A264-2C65AC777129}"/>
    <cellStyle name="20% - Accent2 2 2 2 4 4" xfId="9980" xr:uid="{3E236B25-E76C-43D5-9636-EA5D7E75CDDA}"/>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87E3DF0F-F585-4335-B4FF-66AFC84FAFCD}"/>
    <cellStyle name="20% - Accent2 2 2 2 5 2 3" xfId="12538" xr:uid="{B02633F4-364B-4A6D-A2A3-C66F8CA5BDEC}"/>
    <cellStyle name="20% - Accent2 2 2 2 5 3" xfId="6169" xr:uid="{00000000-0005-0000-0000-0000B4000000}"/>
    <cellStyle name="20% - Accent2 2 2 2 5 3 2" xfId="14611" xr:uid="{72BBB586-FA5A-4F60-B5D0-04059A4AAC9C}"/>
    <cellStyle name="20% - Accent2 2 2 2 5 4" xfId="10393" xr:uid="{DF208655-9F1E-44AA-901F-17213340CEA1}"/>
    <cellStyle name="20% - Accent2 2 2 2 6" xfId="2275" xr:uid="{00000000-0005-0000-0000-0000B5000000}"/>
    <cellStyle name="20% - Accent2 2 2 2 6 2" xfId="6582" xr:uid="{00000000-0005-0000-0000-0000B6000000}"/>
    <cellStyle name="20% - Accent2 2 2 2 6 2 2" xfId="15024" xr:uid="{DF646C85-AEC7-49C7-807C-935199864642}"/>
    <cellStyle name="20% - Accent2 2 2 2 6 3" xfId="10806" xr:uid="{321BF9A8-D197-4436-A0BA-E9D391CCD488}"/>
    <cellStyle name="20% - Accent2 2 2 2 7" xfId="4516" xr:uid="{00000000-0005-0000-0000-0000B7000000}"/>
    <cellStyle name="20% - Accent2 2 2 2 7 2" xfId="12958" xr:uid="{3388B210-B1F4-46D4-AE61-992970664AC9}"/>
    <cellStyle name="20% - Accent2 2 2 2 8" xfId="8740" xr:uid="{FC8138C5-F431-40CC-8BAE-591480833239}"/>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F169D0E9-2D6B-4B09-81D2-0507F5062256}"/>
    <cellStyle name="20% - Accent2 2 2 3 2 3" xfId="11298" xr:uid="{58F3986F-99B5-45A3-BB97-6A75E1F9A219}"/>
    <cellStyle name="20% - Accent2 2 2 3 3" xfId="4929" xr:uid="{00000000-0005-0000-0000-0000BB000000}"/>
    <cellStyle name="20% - Accent2 2 2 3 3 2" xfId="13371" xr:uid="{F655AE19-6F9A-4F70-A905-0B6986542278}"/>
    <cellStyle name="20% - Accent2 2 2 3 4" xfId="9153" xr:uid="{052EC0C4-8577-434E-A05B-BCB55F4688F3}"/>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E3FAE201-1F3B-4E18-B5A0-BF33F6C399F3}"/>
    <cellStyle name="20% - Accent2 2 2 4 2 3" xfId="11711" xr:uid="{C2FE5F9B-7880-4F3C-88B8-E5AF57A8F713}"/>
    <cellStyle name="20% - Accent2 2 2 4 3" xfId="5342" xr:uid="{00000000-0005-0000-0000-0000BF000000}"/>
    <cellStyle name="20% - Accent2 2 2 4 3 2" xfId="13784" xr:uid="{2C892BB7-A81E-4A87-A3EC-773DE8200262}"/>
    <cellStyle name="20% - Accent2 2 2 4 4" xfId="9566" xr:uid="{95C8C14A-7779-4F9C-B51F-8D62D66C7852}"/>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17779E28-FC0D-4934-BC94-45B64E30EB08}"/>
    <cellStyle name="20% - Accent2 2 2 5 2 3" xfId="12124" xr:uid="{18706D10-51B3-4389-BC13-F7071E3828C6}"/>
    <cellStyle name="20% - Accent2 2 2 5 3" xfId="5755" xr:uid="{00000000-0005-0000-0000-0000C3000000}"/>
    <cellStyle name="20% - Accent2 2 2 5 3 2" xfId="14197" xr:uid="{174A0954-0934-4E15-842F-93D306AFD351}"/>
    <cellStyle name="20% - Accent2 2 2 5 4" xfId="9979" xr:uid="{7A56CED4-7F61-4AAE-BC9A-D43045D683AE}"/>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68F50482-6BE5-4E18-9E45-D6BF32EC6D69}"/>
    <cellStyle name="20% - Accent2 2 2 6 2 3" xfId="12537" xr:uid="{02F69ACD-A587-4924-B88B-328BC9A0F9D6}"/>
    <cellStyle name="20% - Accent2 2 2 6 3" xfId="6168" xr:uid="{00000000-0005-0000-0000-0000C7000000}"/>
    <cellStyle name="20% - Accent2 2 2 6 3 2" xfId="14610" xr:uid="{8ACE6A77-65EA-42A7-B11D-C1FC3C8FF701}"/>
    <cellStyle name="20% - Accent2 2 2 6 4" xfId="10392" xr:uid="{1285159A-41E1-40D6-A9BF-533FA97917A2}"/>
    <cellStyle name="20% - Accent2 2 2 7" xfId="2274" xr:uid="{00000000-0005-0000-0000-0000C8000000}"/>
    <cellStyle name="20% - Accent2 2 2 7 2" xfId="6581" xr:uid="{00000000-0005-0000-0000-0000C9000000}"/>
    <cellStyle name="20% - Accent2 2 2 7 2 2" xfId="15023" xr:uid="{EEF7C624-1DE9-4703-9C46-56568D872861}"/>
    <cellStyle name="20% - Accent2 2 2 7 3" xfId="10805" xr:uid="{6866B8F3-B73F-4C58-8F09-64115D1A6582}"/>
    <cellStyle name="20% - Accent2 2 2 8" xfId="4515" xr:uid="{00000000-0005-0000-0000-0000CA000000}"/>
    <cellStyle name="20% - Accent2 2 2 8 2" xfId="12957" xr:uid="{41BA4A6C-6696-496B-A5B1-63CE601246AF}"/>
    <cellStyle name="20% - Accent2 2 2 9" xfId="8739" xr:uid="{7B9B7947-5BBF-4C0C-9F93-0068E20B195E}"/>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D87B56D4-2DA7-43C0-9DDD-B4A78759E34E}"/>
    <cellStyle name="20% - Accent2 2 3 2 2 3" xfId="11300" xr:uid="{B0EBA282-B37E-4A7B-B03F-96428954B71D}"/>
    <cellStyle name="20% - Accent2 2 3 2 3" xfId="4931" xr:uid="{00000000-0005-0000-0000-0000CF000000}"/>
    <cellStyle name="20% - Accent2 2 3 2 3 2" xfId="13373" xr:uid="{E2420032-3297-40B2-88E4-3C9C504C1668}"/>
    <cellStyle name="20% - Accent2 2 3 2 4" xfId="9155" xr:uid="{13D5B7EE-94F1-437D-8E2A-CD66EA0FB08C}"/>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F458B409-9AA7-449D-BF88-857BF043D6D5}"/>
    <cellStyle name="20% - Accent2 2 3 3 2 3" xfId="11713" xr:uid="{EFA721CC-45F8-4071-A5F3-D96F17B0C493}"/>
    <cellStyle name="20% - Accent2 2 3 3 3" xfId="5344" xr:uid="{00000000-0005-0000-0000-0000D3000000}"/>
    <cellStyle name="20% - Accent2 2 3 3 3 2" xfId="13786" xr:uid="{D89C45CC-AB4D-4080-AF46-038E6AA1FAA5}"/>
    <cellStyle name="20% - Accent2 2 3 3 4" xfId="9568" xr:uid="{501C5052-EA02-4642-9B2D-101F1568FA60}"/>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693168EA-C59C-4A00-A817-C7BE1F20373D}"/>
    <cellStyle name="20% - Accent2 2 3 4 2 3" xfId="12126" xr:uid="{F33050AA-6CD3-4895-B62F-B3A923B33EAA}"/>
    <cellStyle name="20% - Accent2 2 3 4 3" xfId="5757" xr:uid="{00000000-0005-0000-0000-0000D7000000}"/>
    <cellStyle name="20% - Accent2 2 3 4 3 2" xfId="14199" xr:uid="{F758A05C-258B-488F-BB73-2DB4A040D014}"/>
    <cellStyle name="20% - Accent2 2 3 4 4" xfId="9981" xr:uid="{1CC57642-81CE-4AD2-91E1-BFF29A36FBD2}"/>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90781D2E-493E-4414-A15A-5ED950A466E6}"/>
    <cellStyle name="20% - Accent2 2 3 5 2 3" xfId="12539" xr:uid="{D5AA77A3-2A79-41E0-8CEC-4A311EBCAB3E}"/>
    <cellStyle name="20% - Accent2 2 3 5 3" xfId="6170" xr:uid="{00000000-0005-0000-0000-0000DB000000}"/>
    <cellStyle name="20% - Accent2 2 3 5 3 2" xfId="14612" xr:uid="{733B3014-1FC7-4B23-84E5-3D9123741F37}"/>
    <cellStyle name="20% - Accent2 2 3 5 4" xfId="10394" xr:uid="{34580211-DDA9-4648-83F9-7E3FF0F16C74}"/>
    <cellStyle name="20% - Accent2 2 3 6" xfId="2276" xr:uid="{00000000-0005-0000-0000-0000DC000000}"/>
    <cellStyle name="20% - Accent2 2 3 6 2" xfId="6583" xr:uid="{00000000-0005-0000-0000-0000DD000000}"/>
    <cellStyle name="20% - Accent2 2 3 6 2 2" xfId="15025" xr:uid="{B085AE17-C3F5-44B1-A2EC-40C41D035DEF}"/>
    <cellStyle name="20% - Accent2 2 3 6 3" xfId="10807" xr:uid="{30593C18-A428-4479-BCCF-71E8DAEC7310}"/>
    <cellStyle name="20% - Accent2 2 3 7" xfId="4517" xr:uid="{00000000-0005-0000-0000-0000DE000000}"/>
    <cellStyle name="20% - Accent2 2 3 7 2" xfId="12959" xr:uid="{48674817-808D-49AC-9A42-13B0C8F7113D}"/>
    <cellStyle name="20% - Accent2 2 3 8" xfId="8741" xr:uid="{DBC42F33-4274-46F2-A663-59A98C0B37B3}"/>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79B89118-F18E-4E4F-B213-81BCA8342B08}"/>
    <cellStyle name="20% - Accent2 2 4 2 3" xfId="11297" xr:uid="{70C4307B-98DB-4608-B3EB-71470DA48FC9}"/>
    <cellStyle name="20% - Accent2 2 4 3" xfId="4928" xr:uid="{00000000-0005-0000-0000-0000E2000000}"/>
    <cellStyle name="20% - Accent2 2 4 3 2" xfId="13370" xr:uid="{6C160006-6000-4DD8-B857-1E4E1E4BF790}"/>
    <cellStyle name="20% - Accent2 2 4 4" xfId="9152" xr:uid="{057AAAF3-19F7-4D0D-85AD-F457A2B1147F}"/>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F5541BA4-875F-4763-8013-EA08FC353380}"/>
    <cellStyle name="20% - Accent2 2 5 2 3" xfId="11710" xr:uid="{DC9EB5DB-5647-4415-A53C-43AFA16CF503}"/>
    <cellStyle name="20% - Accent2 2 5 3" xfId="5341" xr:uid="{00000000-0005-0000-0000-0000E6000000}"/>
    <cellStyle name="20% - Accent2 2 5 3 2" xfId="13783" xr:uid="{B9C479E0-65EC-40C7-8B3D-5DFB36334B8B}"/>
    <cellStyle name="20% - Accent2 2 5 4" xfId="9565" xr:uid="{C7A997F1-EEB2-4A83-9EE7-E8D04A5B5DAB}"/>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127716E1-C2EA-4E92-97C8-AE598A44A0BE}"/>
    <cellStyle name="20% - Accent2 2 6 2 3" xfId="12123" xr:uid="{2BF5F016-575D-485A-891D-08089637992B}"/>
    <cellStyle name="20% - Accent2 2 6 3" xfId="5754" xr:uid="{00000000-0005-0000-0000-0000EA000000}"/>
    <cellStyle name="20% - Accent2 2 6 3 2" xfId="14196" xr:uid="{0A360782-F832-41A7-AB0A-3B1E8C3D7F3E}"/>
    <cellStyle name="20% - Accent2 2 6 4" xfId="9978" xr:uid="{98A4D5DF-4A7F-4323-8361-F3A91C6941F9}"/>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BAAB5A86-1A05-4FF9-BC4E-6DA73943EB27}"/>
    <cellStyle name="20% - Accent2 2 7 2 3" xfId="12536" xr:uid="{98297870-D264-4CE6-94B1-00A948ABE7B6}"/>
    <cellStyle name="20% - Accent2 2 7 3" xfId="6167" xr:uid="{00000000-0005-0000-0000-0000EE000000}"/>
    <cellStyle name="20% - Accent2 2 7 3 2" xfId="14609" xr:uid="{1379FA69-0EBF-4C24-8471-75A166DF9BEA}"/>
    <cellStyle name="20% - Accent2 2 7 4" xfId="10391" xr:uid="{D889EA7E-04B6-41CB-BDE2-C6B6F875A593}"/>
    <cellStyle name="20% - Accent2 2 8" xfId="2273" xr:uid="{00000000-0005-0000-0000-0000EF000000}"/>
    <cellStyle name="20% - Accent2 2 8 2" xfId="6580" xr:uid="{00000000-0005-0000-0000-0000F0000000}"/>
    <cellStyle name="20% - Accent2 2 8 2 2" xfId="15022" xr:uid="{A500304F-CDA9-45FC-B4D8-0910D642072E}"/>
    <cellStyle name="20% - Accent2 2 8 3" xfId="10804" xr:uid="{E5DA91A6-B976-475F-B3BF-538F1246E0D0}"/>
    <cellStyle name="20% - Accent2 2 9" xfId="4514" xr:uid="{00000000-0005-0000-0000-0000F1000000}"/>
    <cellStyle name="20% - Accent2 2 9 2" xfId="12956" xr:uid="{C6EAF8C8-4ADC-4D0D-A6ED-A5E5CFA87D29}"/>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701ADAC7-4434-4CEB-B7CE-56A18B5BCBD7}"/>
    <cellStyle name="20% - Accent2 3 2 2 2 3" xfId="11302" xr:uid="{518BF3C0-C93D-4009-ADB7-9ABB87BB7C4C}"/>
    <cellStyle name="20% - Accent2 3 2 2 3" xfId="4933" xr:uid="{00000000-0005-0000-0000-0000F7000000}"/>
    <cellStyle name="20% - Accent2 3 2 2 3 2" xfId="13375" xr:uid="{B9C80469-4BBF-47E8-8EB4-AD999A65B0EE}"/>
    <cellStyle name="20% - Accent2 3 2 2 4" xfId="9157" xr:uid="{2B7DECBA-897D-484F-89BB-B3452126808F}"/>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6DDEB5D2-79AC-42AD-A6D8-D76C079061CE}"/>
    <cellStyle name="20% - Accent2 3 2 3 2 3" xfId="11715" xr:uid="{49928D12-766C-40B6-8D7A-5DEB28905E28}"/>
    <cellStyle name="20% - Accent2 3 2 3 3" xfId="5346" xr:uid="{00000000-0005-0000-0000-0000FB000000}"/>
    <cellStyle name="20% - Accent2 3 2 3 3 2" xfId="13788" xr:uid="{401F7069-1317-402F-A9C3-B3289A44995C}"/>
    <cellStyle name="20% - Accent2 3 2 3 4" xfId="9570" xr:uid="{1A48F5C7-9797-493A-B5E1-46B86B565910}"/>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4848F68D-5FC2-49FE-9801-C8EB7E11F90C}"/>
    <cellStyle name="20% - Accent2 3 2 4 2 3" xfId="12128" xr:uid="{BC9FBCDD-10EE-4B22-90A1-31BF063D8582}"/>
    <cellStyle name="20% - Accent2 3 2 4 3" xfId="5759" xr:uid="{00000000-0005-0000-0000-0000FF000000}"/>
    <cellStyle name="20% - Accent2 3 2 4 3 2" xfId="14201" xr:uid="{8044D6DA-3A3E-407A-8386-4EC3790DC203}"/>
    <cellStyle name="20% - Accent2 3 2 4 4" xfId="9983" xr:uid="{9B8286C3-949F-4406-98B6-DEE250320A89}"/>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DE3698DE-0361-4422-B3C8-F43C4B95DDDD}"/>
    <cellStyle name="20% - Accent2 3 2 5 2 3" xfId="12541" xr:uid="{C329FE56-9413-44CE-8546-76170102CDF7}"/>
    <cellStyle name="20% - Accent2 3 2 5 3" xfId="6172" xr:uid="{00000000-0005-0000-0000-000003010000}"/>
    <cellStyle name="20% - Accent2 3 2 5 3 2" xfId="14614" xr:uid="{33BB6D04-5AA3-4BAB-A2E7-C3E631EDC54E}"/>
    <cellStyle name="20% - Accent2 3 2 5 4" xfId="10396" xr:uid="{DA6DCBDA-3782-4F31-AE4C-FBFDFDAACF0A}"/>
    <cellStyle name="20% - Accent2 3 2 6" xfId="2278" xr:uid="{00000000-0005-0000-0000-000004010000}"/>
    <cellStyle name="20% - Accent2 3 2 6 2" xfId="6585" xr:uid="{00000000-0005-0000-0000-000005010000}"/>
    <cellStyle name="20% - Accent2 3 2 6 2 2" xfId="15027" xr:uid="{05BCECE2-80B3-4FDF-86B6-00EED48F9420}"/>
    <cellStyle name="20% - Accent2 3 2 6 3" xfId="10809" xr:uid="{5C4643BC-7618-4CB2-951D-E734A784D4D8}"/>
    <cellStyle name="20% - Accent2 3 2 7" xfId="4519" xr:uid="{00000000-0005-0000-0000-000006010000}"/>
    <cellStyle name="20% - Accent2 3 2 7 2" xfId="12961" xr:uid="{F3439DEB-3DE6-4BE0-BDE6-AD6E7D8A8B96}"/>
    <cellStyle name="20% - Accent2 3 2 8" xfId="8743" xr:uid="{179CC899-A381-452F-BE4F-92A88FB27E88}"/>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6A1A904B-0A5A-4898-9D6E-FC76AEA4E73D}"/>
    <cellStyle name="20% - Accent2 3 3 2 3" xfId="11301" xr:uid="{3954360B-62C6-4CBC-94E0-84F5DC5A0C34}"/>
    <cellStyle name="20% - Accent2 3 3 3" xfId="4932" xr:uid="{00000000-0005-0000-0000-00000A010000}"/>
    <cellStyle name="20% - Accent2 3 3 3 2" xfId="13374" xr:uid="{B6C4A01F-F73B-4865-B7F1-3E241B2D46E6}"/>
    <cellStyle name="20% - Accent2 3 3 4" xfId="9156" xr:uid="{2A6D922E-78AD-452F-B4E8-2B29ACD88DD1}"/>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E1F1354E-BB16-4E1F-96E1-C2BF6ACF129B}"/>
    <cellStyle name="20% - Accent2 3 4 2 3" xfId="11714" xr:uid="{6B3BF7B2-7FA6-464A-B423-DA19A1CF54DB}"/>
    <cellStyle name="20% - Accent2 3 4 3" xfId="5345" xr:uid="{00000000-0005-0000-0000-00000E010000}"/>
    <cellStyle name="20% - Accent2 3 4 3 2" xfId="13787" xr:uid="{E9CA3141-6175-4550-B24B-74EF3714E499}"/>
    <cellStyle name="20% - Accent2 3 4 4" xfId="9569" xr:uid="{ACDA0D69-D329-4D80-9FB4-330D394DE681}"/>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A98C3AAA-760F-4F61-B3FF-892020B838BA}"/>
    <cellStyle name="20% - Accent2 3 5 2 3" xfId="12127" xr:uid="{8DBEB423-6697-4A5A-A92F-62904880670F}"/>
    <cellStyle name="20% - Accent2 3 5 3" xfId="5758" xr:uid="{00000000-0005-0000-0000-000012010000}"/>
    <cellStyle name="20% - Accent2 3 5 3 2" xfId="14200" xr:uid="{5F59819B-0519-45FE-A2E3-7F5807331102}"/>
    <cellStyle name="20% - Accent2 3 5 4" xfId="9982" xr:uid="{3C17CE1F-3497-42BA-9A87-2DCBF23A9F33}"/>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EDB90037-C9B2-4DA3-926B-6CFFC853FB3A}"/>
    <cellStyle name="20% - Accent2 3 6 2 3" xfId="12540" xr:uid="{EECC3F3C-5C00-477F-BDE5-8B51CB04F383}"/>
    <cellStyle name="20% - Accent2 3 6 3" xfId="6171" xr:uid="{00000000-0005-0000-0000-000016010000}"/>
    <cellStyle name="20% - Accent2 3 6 3 2" xfId="14613" xr:uid="{738E180A-9ABE-4001-AB79-F60333EF4A0E}"/>
    <cellStyle name="20% - Accent2 3 6 4" xfId="10395" xr:uid="{2E33374F-95FA-4A37-9882-72A9AF100B37}"/>
    <cellStyle name="20% - Accent2 3 7" xfId="2277" xr:uid="{00000000-0005-0000-0000-000017010000}"/>
    <cellStyle name="20% - Accent2 3 7 2" xfId="6584" xr:uid="{00000000-0005-0000-0000-000018010000}"/>
    <cellStyle name="20% - Accent2 3 7 2 2" xfId="15026" xr:uid="{124AC96E-4B88-43C6-91E0-334DB1F2FC72}"/>
    <cellStyle name="20% - Accent2 3 7 3" xfId="10808" xr:uid="{65E03848-EBA7-4D73-95B9-B80E08BC104C}"/>
    <cellStyle name="20% - Accent2 3 8" xfId="4518" xr:uid="{00000000-0005-0000-0000-000019010000}"/>
    <cellStyle name="20% - Accent2 3 8 2" xfId="12960" xr:uid="{F054FB1A-5DED-49D0-9ABD-DA8EB1CEFC5E}"/>
    <cellStyle name="20% - Accent2 3 9" xfId="8742" xr:uid="{BF78BBC4-DF9D-4B0B-9B69-538685FDF517}"/>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9BB1E669-97C7-4D68-8201-4079B1271513}"/>
    <cellStyle name="20% - Accent2 4 2 2 3" xfId="11303" xr:uid="{E0DC6E24-F8F6-4B09-8CAE-3AB674B4D61F}"/>
    <cellStyle name="20% - Accent2 4 2 3" xfId="4934" xr:uid="{00000000-0005-0000-0000-00001E010000}"/>
    <cellStyle name="20% - Accent2 4 2 3 2" xfId="13376" xr:uid="{66FBF254-9CC5-44AD-BEBE-0E5A5EF4ECB3}"/>
    <cellStyle name="20% - Accent2 4 2 4" xfId="9158" xr:uid="{A71439FB-A2FC-45FD-99DD-5EF15C5D2420}"/>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35854A47-AC01-4215-88E5-1A772664EFAA}"/>
    <cellStyle name="20% - Accent2 4 3 2 3" xfId="11716" xr:uid="{D9E537CC-6EED-4EEC-B37F-C894D1090F02}"/>
    <cellStyle name="20% - Accent2 4 3 3" xfId="5347" xr:uid="{00000000-0005-0000-0000-000022010000}"/>
    <cellStyle name="20% - Accent2 4 3 3 2" xfId="13789" xr:uid="{AC48AB20-C524-42C4-83FC-574CF8485453}"/>
    <cellStyle name="20% - Accent2 4 3 4" xfId="9571" xr:uid="{BEAC6177-77A2-4576-AE4B-F1249B7AEF31}"/>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BC74FE02-DBD1-4243-B442-9C690A440C4F}"/>
    <cellStyle name="20% - Accent2 4 4 2 3" xfId="12129" xr:uid="{279BDE3F-0F68-475F-A7D7-59478D140E7F}"/>
    <cellStyle name="20% - Accent2 4 4 3" xfId="5760" xr:uid="{00000000-0005-0000-0000-000026010000}"/>
    <cellStyle name="20% - Accent2 4 4 3 2" xfId="14202" xr:uid="{380B69EC-756B-4F81-9A15-04B60476F5A7}"/>
    <cellStyle name="20% - Accent2 4 4 4" xfId="9984" xr:uid="{905DB83B-BF15-4D5B-A42E-9A197071F6B2}"/>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086758C7-B282-44EC-9878-22EDF2FF1D3B}"/>
    <cellStyle name="20% - Accent2 4 5 2 3" xfId="12542" xr:uid="{41B27705-882D-411A-BCE6-51FA7B94119A}"/>
    <cellStyle name="20% - Accent2 4 5 3" xfId="6173" xr:uid="{00000000-0005-0000-0000-00002A010000}"/>
    <cellStyle name="20% - Accent2 4 5 3 2" xfId="14615" xr:uid="{A0880819-2605-489C-8B04-EB8ADAD836E3}"/>
    <cellStyle name="20% - Accent2 4 5 4" xfId="10397" xr:uid="{7D3D28EF-B350-4F3C-B8BD-7D2EC40DB6C5}"/>
    <cellStyle name="20% - Accent2 4 6" xfId="2279" xr:uid="{00000000-0005-0000-0000-00002B010000}"/>
    <cellStyle name="20% - Accent2 4 6 2" xfId="6586" xr:uid="{00000000-0005-0000-0000-00002C010000}"/>
    <cellStyle name="20% - Accent2 4 6 2 2" xfId="15028" xr:uid="{98CB4909-956C-4E80-9F9D-FEA286CDF494}"/>
    <cellStyle name="20% - Accent2 4 6 3" xfId="10810" xr:uid="{D02F575B-49A5-4BBD-AFE9-F017808E114A}"/>
    <cellStyle name="20% - Accent2 4 7" xfId="4520" xr:uid="{00000000-0005-0000-0000-00002D010000}"/>
    <cellStyle name="20% - Accent2 4 7 2" xfId="12962" xr:uid="{F55420B3-3908-42A4-9D8C-F60BA89FA123}"/>
    <cellStyle name="20% - Accent2 4 8" xfId="8744" xr:uid="{CB2FC3C7-0B8F-4274-9164-8C1ECD0222DE}"/>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0951DAA0-385F-4183-89C7-D50132EEB699}"/>
    <cellStyle name="20% - Accent2 5 2 3" xfId="11296" xr:uid="{C7638057-8515-4444-81BF-68D20D1C817A}"/>
    <cellStyle name="20% - Accent2 5 3" xfId="4927" xr:uid="{00000000-0005-0000-0000-000031010000}"/>
    <cellStyle name="20% - Accent2 5 3 2" xfId="13369" xr:uid="{AC08D9E5-A7D8-4D01-B0D5-157035EF3A8F}"/>
    <cellStyle name="20% - Accent2 5 4" xfId="9151" xr:uid="{702B2FB0-B6F8-4C19-9B02-A39F178E2699}"/>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BE4C696E-C42C-4740-A842-8B0260AD8E21}"/>
    <cellStyle name="20% - Accent2 6 2 3" xfId="11709" xr:uid="{F9E290A0-B020-4651-ABE5-752BA77F2052}"/>
    <cellStyle name="20% - Accent2 6 3" xfId="5340" xr:uid="{00000000-0005-0000-0000-000035010000}"/>
    <cellStyle name="20% - Accent2 6 3 2" xfId="13782" xr:uid="{BDC5A693-9894-458C-837A-702056248EB5}"/>
    <cellStyle name="20% - Accent2 6 4" xfId="9564" xr:uid="{5C6A5E38-4CCB-49D3-99D8-3CB483812E96}"/>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222085E9-CCFE-4D65-8960-9EF44C05C174}"/>
    <cellStyle name="20% - Accent2 7 2 3" xfId="12122" xr:uid="{EC035B3C-02C0-4E6C-A9D2-9598D0715C32}"/>
    <cellStyle name="20% - Accent2 7 3" xfId="5753" xr:uid="{00000000-0005-0000-0000-000039010000}"/>
    <cellStyle name="20% - Accent2 7 3 2" xfId="14195" xr:uid="{DA965525-B813-41AE-BC06-0F71FD910D27}"/>
    <cellStyle name="20% - Accent2 7 4" xfId="9977" xr:uid="{6FAF7158-B9CF-451D-8751-C71179E0513C}"/>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B2A7D911-B78F-4CAD-B9CA-8CAA28F0C9B8}"/>
    <cellStyle name="20% - Accent2 8 2 3" xfId="12535" xr:uid="{2DE7B847-0ECF-404A-A2FE-F2AA4AAB2062}"/>
    <cellStyle name="20% - Accent2 8 3" xfId="6166" xr:uid="{00000000-0005-0000-0000-00003D010000}"/>
    <cellStyle name="20% - Accent2 8 3 2" xfId="14608" xr:uid="{F1646156-84DE-4CD7-8404-AFEE1EB5641F}"/>
    <cellStyle name="20% - Accent2 8 4" xfId="10390" xr:uid="{99A96427-C8AB-475B-9559-932009CCBDC3}"/>
    <cellStyle name="20% - Accent2 9" xfId="2272" xr:uid="{00000000-0005-0000-0000-00003E010000}"/>
    <cellStyle name="20% - Accent2 9 2" xfId="6579" xr:uid="{00000000-0005-0000-0000-00003F010000}"/>
    <cellStyle name="20% - Accent2 9 2 2" xfId="15021" xr:uid="{89F4C1A6-9449-4BFD-BFC6-FB3CDA39C82A}"/>
    <cellStyle name="20% - Accent2 9 3" xfId="10803" xr:uid="{6E34CB3E-E746-4987-9126-9F81C59F26C1}"/>
    <cellStyle name="20% - Accent3" xfId="17" builtinId="38" customBuiltin="1"/>
    <cellStyle name="20% - Accent3 10" xfId="4521" xr:uid="{00000000-0005-0000-0000-000041010000}"/>
    <cellStyle name="20% - Accent3 10 2" xfId="12963" xr:uid="{5617DF95-E44B-45A8-8C62-B306D4163E3E}"/>
    <cellStyle name="20% - Accent3 11" xfId="8745" xr:uid="{E5BC6449-3C9A-42BA-9ED9-34D4081F524D}"/>
    <cellStyle name="20% - Accent3 2" xfId="18" xr:uid="{00000000-0005-0000-0000-000042010000}"/>
    <cellStyle name="20% - Accent3 2 10" xfId="8746" xr:uid="{02080B39-3C27-4C9C-8FD8-28E97C0F81B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C7D5F044-D991-409E-AD20-4DEFD8171F29}"/>
    <cellStyle name="20% - Accent3 2 2 2 2 2 3" xfId="11307" xr:uid="{3B840977-620C-4E83-9128-A9B3CBFA92D9}"/>
    <cellStyle name="20% - Accent3 2 2 2 2 3" xfId="4938" xr:uid="{00000000-0005-0000-0000-000048010000}"/>
    <cellStyle name="20% - Accent3 2 2 2 2 3 2" xfId="13380" xr:uid="{F2D782B0-05C0-4AFE-9AB6-83B665BCA576}"/>
    <cellStyle name="20% - Accent3 2 2 2 2 4" xfId="9162" xr:uid="{33DDFA8C-2346-4099-835D-4AB48D5373C7}"/>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CA4BB7E8-C536-42D6-98CE-8A5B9F85C737}"/>
    <cellStyle name="20% - Accent3 2 2 2 3 2 3" xfId="11720" xr:uid="{D7934DCE-BAC5-437F-8556-5970EBA440F9}"/>
    <cellStyle name="20% - Accent3 2 2 2 3 3" xfId="5351" xr:uid="{00000000-0005-0000-0000-00004C010000}"/>
    <cellStyle name="20% - Accent3 2 2 2 3 3 2" xfId="13793" xr:uid="{ED06BD51-5B2C-4EF6-821C-14CD68D625DA}"/>
    <cellStyle name="20% - Accent3 2 2 2 3 4" xfId="9575" xr:uid="{4348E264-F06C-4E94-9325-8A5B86E381E1}"/>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C66B3775-4C73-454C-84E4-B174C68BAA55}"/>
    <cellStyle name="20% - Accent3 2 2 2 4 2 3" xfId="12133" xr:uid="{F9BBC4D9-95EE-4E43-9B6C-9A24A2C5828C}"/>
    <cellStyle name="20% - Accent3 2 2 2 4 3" xfId="5764" xr:uid="{00000000-0005-0000-0000-000050010000}"/>
    <cellStyle name="20% - Accent3 2 2 2 4 3 2" xfId="14206" xr:uid="{CB0822B8-723B-46BE-9E9F-B9C9EBF02FAD}"/>
    <cellStyle name="20% - Accent3 2 2 2 4 4" xfId="9988" xr:uid="{9F145D57-D89A-4FEB-986D-C5ACD9B06EA8}"/>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2633FFE7-D6D6-40A5-8322-7FFBCD0077A3}"/>
    <cellStyle name="20% - Accent3 2 2 2 5 2 3" xfId="12546" xr:uid="{B215CBBD-6BF0-4429-83E3-8DC46CF0226A}"/>
    <cellStyle name="20% - Accent3 2 2 2 5 3" xfId="6177" xr:uid="{00000000-0005-0000-0000-000054010000}"/>
    <cellStyle name="20% - Accent3 2 2 2 5 3 2" xfId="14619" xr:uid="{0741F1B9-DCF9-4F21-8A80-CF932F75C9E9}"/>
    <cellStyle name="20% - Accent3 2 2 2 5 4" xfId="10401" xr:uid="{727480C4-FB59-44F3-9691-5CF6090BBDD0}"/>
    <cellStyle name="20% - Accent3 2 2 2 6" xfId="2283" xr:uid="{00000000-0005-0000-0000-000055010000}"/>
    <cellStyle name="20% - Accent3 2 2 2 6 2" xfId="6590" xr:uid="{00000000-0005-0000-0000-000056010000}"/>
    <cellStyle name="20% - Accent3 2 2 2 6 2 2" xfId="15032" xr:uid="{6B6840CE-3B88-4949-AB7D-5E1927EA64EA}"/>
    <cellStyle name="20% - Accent3 2 2 2 6 3" xfId="10814" xr:uid="{F147D46B-C8EA-4950-A05A-FCE631A98C49}"/>
    <cellStyle name="20% - Accent3 2 2 2 7" xfId="4524" xr:uid="{00000000-0005-0000-0000-000057010000}"/>
    <cellStyle name="20% - Accent3 2 2 2 7 2" xfId="12966" xr:uid="{530169BD-AD55-4313-B540-F8D78C4C16F3}"/>
    <cellStyle name="20% - Accent3 2 2 2 8" xfId="8748" xr:uid="{6984C303-430B-44B4-A6AD-EFAB2E256143}"/>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E6C19F2D-2257-478E-B430-48A885694D8F}"/>
    <cellStyle name="20% - Accent3 2 2 3 2 3" xfId="11306" xr:uid="{203A3BA7-F47A-4834-9648-32110ED7FA5C}"/>
    <cellStyle name="20% - Accent3 2 2 3 3" xfId="4937" xr:uid="{00000000-0005-0000-0000-00005B010000}"/>
    <cellStyle name="20% - Accent3 2 2 3 3 2" xfId="13379" xr:uid="{DDF032CD-AAAF-4765-BE8F-A47CB705E2E6}"/>
    <cellStyle name="20% - Accent3 2 2 3 4" xfId="9161" xr:uid="{980234F5-BA80-443D-853D-BABD68253CDF}"/>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E4CC8D59-7D0E-4F3B-BE8C-D7D8ACB8FF58}"/>
    <cellStyle name="20% - Accent3 2 2 4 2 3" xfId="11719" xr:uid="{70FF1047-37CD-4541-9CCC-E2BCA8B98016}"/>
    <cellStyle name="20% - Accent3 2 2 4 3" xfId="5350" xr:uid="{00000000-0005-0000-0000-00005F010000}"/>
    <cellStyle name="20% - Accent3 2 2 4 3 2" xfId="13792" xr:uid="{5770167B-2039-4AED-A12B-1FE9486003A1}"/>
    <cellStyle name="20% - Accent3 2 2 4 4" xfId="9574" xr:uid="{4A0B42F0-3813-42C3-9741-2D75B8927694}"/>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2236FFA3-4694-496E-8838-277FDE4A4307}"/>
    <cellStyle name="20% - Accent3 2 2 5 2 3" xfId="12132" xr:uid="{585050D1-7F14-4F3A-B3BB-D991E6EC4E1D}"/>
    <cellStyle name="20% - Accent3 2 2 5 3" xfId="5763" xr:uid="{00000000-0005-0000-0000-000063010000}"/>
    <cellStyle name="20% - Accent3 2 2 5 3 2" xfId="14205" xr:uid="{CADBEE81-5476-45CE-859A-4E189C7769E1}"/>
    <cellStyle name="20% - Accent3 2 2 5 4" xfId="9987" xr:uid="{574846F3-E9F0-4653-A3ED-91C04A9CCD8D}"/>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4E89E03D-4ADD-48F0-BA78-4791B528F3E0}"/>
    <cellStyle name="20% - Accent3 2 2 6 2 3" xfId="12545" xr:uid="{9DC3809F-AA5C-479C-9F5A-7D89CB85B141}"/>
    <cellStyle name="20% - Accent3 2 2 6 3" xfId="6176" xr:uid="{00000000-0005-0000-0000-000067010000}"/>
    <cellStyle name="20% - Accent3 2 2 6 3 2" xfId="14618" xr:uid="{8D6D86C8-CD7F-497C-91C3-5CEEAD083151}"/>
    <cellStyle name="20% - Accent3 2 2 6 4" xfId="10400" xr:uid="{4DFB32C0-D9A9-42BF-83F6-663015FACEE8}"/>
    <cellStyle name="20% - Accent3 2 2 7" xfId="2282" xr:uid="{00000000-0005-0000-0000-000068010000}"/>
    <cellStyle name="20% - Accent3 2 2 7 2" xfId="6589" xr:uid="{00000000-0005-0000-0000-000069010000}"/>
    <cellStyle name="20% - Accent3 2 2 7 2 2" xfId="15031" xr:uid="{7C9D114D-756E-4DA2-99D1-76EB00281BD4}"/>
    <cellStyle name="20% - Accent3 2 2 7 3" xfId="10813" xr:uid="{28568684-149C-4926-BA7C-18B5A893E2F8}"/>
    <cellStyle name="20% - Accent3 2 2 8" xfId="4523" xr:uid="{00000000-0005-0000-0000-00006A010000}"/>
    <cellStyle name="20% - Accent3 2 2 8 2" xfId="12965" xr:uid="{C2489CF6-2A50-4935-9606-5751987EFC9D}"/>
    <cellStyle name="20% - Accent3 2 2 9" xfId="8747" xr:uid="{8A1CCB6D-B9BE-4F9C-9610-A1BB000212D1}"/>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177185E3-0059-4403-B2E9-DF0071F69610}"/>
    <cellStyle name="20% - Accent3 2 3 2 2 3" xfId="11308" xr:uid="{324A9CF8-1B2D-416D-9867-8E51E6C65B50}"/>
    <cellStyle name="20% - Accent3 2 3 2 3" xfId="4939" xr:uid="{00000000-0005-0000-0000-00006F010000}"/>
    <cellStyle name="20% - Accent3 2 3 2 3 2" xfId="13381" xr:uid="{206274EE-B5EB-41FB-97F1-2EA35EA7CA71}"/>
    <cellStyle name="20% - Accent3 2 3 2 4" xfId="9163" xr:uid="{FB99DD95-5192-4BC4-82B8-7AA6EEA2381D}"/>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BA43C842-5EFB-4D83-A522-E6D9395934C2}"/>
    <cellStyle name="20% - Accent3 2 3 3 2 3" xfId="11721" xr:uid="{36AD4C7E-B073-44CF-8670-B390C7561A64}"/>
    <cellStyle name="20% - Accent3 2 3 3 3" xfId="5352" xr:uid="{00000000-0005-0000-0000-000073010000}"/>
    <cellStyle name="20% - Accent3 2 3 3 3 2" xfId="13794" xr:uid="{88E47FC7-7069-4957-B9E2-1E2DAE3AF61D}"/>
    <cellStyle name="20% - Accent3 2 3 3 4" xfId="9576" xr:uid="{7CE0E0EE-BEC0-4957-BA65-0E0EBCE0013C}"/>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942EB820-574D-437F-B752-49A4203204CD}"/>
    <cellStyle name="20% - Accent3 2 3 4 2 3" xfId="12134" xr:uid="{D5709E3E-C8B4-44F8-A846-D5135E84CDC6}"/>
    <cellStyle name="20% - Accent3 2 3 4 3" xfId="5765" xr:uid="{00000000-0005-0000-0000-000077010000}"/>
    <cellStyle name="20% - Accent3 2 3 4 3 2" xfId="14207" xr:uid="{A73D9E5A-5D0E-4D07-BF6E-AD6C85273CD6}"/>
    <cellStyle name="20% - Accent3 2 3 4 4" xfId="9989" xr:uid="{251A123C-CF58-4F85-BF42-33598A07028C}"/>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5A5DAA51-19D1-4878-8089-26E46F59F59A}"/>
    <cellStyle name="20% - Accent3 2 3 5 2 3" xfId="12547" xr:uid="{C743D588-BE6B-40E5-938F-FFB48E391026}"/>
    <cellStyle name="20% - Accent3 2 3 5 3" xfId="6178" xr:uid="{00000000-0005-0000-0000-00007B010000}"/>
    <cellStyle name="20% - Accent3 2 3 5 3 2" xfId="14620" xr:uid="{A9C87457-C7C8-44EA-AE30-A2FF47B54AB3}"/>
    <cellStyle name="20% - Accent3 2 3 5 4" xfId="10402" xr:uid="{5ED8CD06-AD6F-4BAF-9D3F-BA718C8DA8BC}"/>
    <cellStyle name="20% - Accent3 2 3 6" xfId="2284" xr:uid="{00000000-0005-0000-0000-00007C010000}"/>
    <cellStyle name="20% - Accent3 2 3 6 2" xfId="6591" xr:uid="{00000000-0005-0000-0000-00007D010000}"/>
    <cellStyle name="20% - Accent3 2 3 6 2 2" xfId="15033" xr:uid="{B90FF3A5-9FFE-41D5-A981-7BFD16C2B458}"/>
    <cellStyle name="20% - Accent3 2 3 6 3" xfId="10815" xr:uid="{92C1A8D9-20A4-4D98-B96E-2259049A07A1}"/>
    <cellStyle name="20% - Accent3 2 3 7" xfId="4525" xr:uid="{00000000-0005-0000-0000-00007E010000}"/>
    <cellStyle name="20% - Accent3 2 3 7 2" xfId="12967" xr:uid="{9C6CC537-2CA7-42B0-8CF0-EA2A98CC79B7}"/>
    <cellStyle name="20% - Accent3 2 3 8" xfId="8749" xr:uid="{70BED5DE-C54B-41A4-97CA-3C5C36D79D72}"/>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5026A580-B995-4221-A4BE-6F379FB6281D}"/>
    <cellStyle name="20% - Accent3 2 4 2 3" xfId="11305" xr:uid="{7CF1A69E-976A-46B3-B048-8DB8169BF98A}"/>
    <cellStyle name="20% - Accent3 2 4 3" xfId="4936" xr:uid="{00000000-0005-0000-0000-000082010000}"/>
    <cellStyle name="20% - Accent3 2 4 3 2" xfId="13378" xr:uid="{E7CED4A7-49DC-4C5A-981C-39CFE83DD1B8}"/>
    <cellStyle name="20% - Accent3 2 4 4" xfId="9160" xr:uid="{8C62A599-A6B4-4D6F-A263-31444D200C44}"/>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534E2FAB-C89A-499E-92F2-16719E3BDBE9}"/>
    <cellStyle name="20% - Accent3 2 5 2 3" xfId="11718" xr:uid="{17E0D033-9DFD-47DF-B6EF-5E417E460157}"/>
    <cellStyle name="20% - Accent3 2 5 3" xfId="5349" xr:uid="{00000000-0005-0000-0000-000086010000}"/>
    <cellStyle name="20% - Accent3 2 5 3 2" xfId="13791" xr:uid="{F499161B-F4DF-489E-905D-8D0B60ACD289}"/>
    <cellStyle name="20% - Accent3 2 5 4" xfId="9573" xr:uid="{67F3E184-20C3-419C-AF31-78948A54D459}"/>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E372B264-FC78-4A7B-AF88-DC1A9DF51B03}"/>
    <cellStyle name="20% - Accent3 2 6 2 3" xfId="12131" xr:uid="{51903FCB-F5A5-4961-97B7-709D34D75E94}"/>
    <cellStyle name="20% - Accent3 2 6 3" xfId="5762" xr:uid="{00000000-0005-0000-0000-00008A010000}"/>
    <cellStyle name="20% - Accent3 2 6 3 2" xfId="14204" xr:uid="{E392AE63-C85E-46A1-8CB6-F8C7734EECB0}"/>
    <cellStyle name="20% - Accent3 2 6 4" xfId="9986" xr:uid="{51619DD2-060C-4553-B37F-732A682EDEF5}"/>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6E30862F-2227-4B0F-AA24-E4290516C810}"/>
    <cellStyle name="20% - Accent3 2 7 2 3" xfId="12544" xr:uid="{ACE28CEA-0FA1-4672-AB3F-5D6830D41627}"/>
    <cellStyle name="20% - Accent3 2 7 3" xfId="6175" xr:uid="{00000000-0005-0000-0000-00008E010000}"/>
    <cellStyle name="20% - Accent3 2 7 3 2" xfId="14617" xr:uid="{055B7B48-C3D3-444E-AD24-8571035E74D6}"/>
    <cellStyle name="20% - Accent3 2 7 4" xfId="10399" xr:uid="{001FE34B-1409-42C2-B6F6-0C5DCF1A6246}"/>
    <cellStyle name="20% - Accent3 2 8" xfId="2281" xr:uid="{00000000-0005-0000-0000-00008F010000}"/>
    <cellStyle name="20% - Accent3 2 8 2" xfId="6588" xr:uid="{00000000-0005-0000-0000-000090010000}"/>
    <cellStyle name="20% - Accent3 2 8 2 2" xfId="15030" xr:uid="{3467A920-F1FB-4838-B8DE-8CC852DE9CD2}"/>
    <cellStyle name="20% - Accent3 2 8 3" xfId="10812" xr:uid="{052B0CC6-67DF-4E82-838E-AE42A0AD17D3}"/>
    <cellStyle name="20% - Accent3 2 9" xfId="4522" xr:uid="{00000000-0005-0000-0000-000091010000}"/>
    <cellStyle name="20% - Accent3 2 9 2" xfId="12964" xr:uid="{514E1142-15D9-4518-A10C-D9003D5F7CB2}"/>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85CB0BFA-DACD-44F4-8BF7-61CC7E5D9DD1}"/>
    <cellStyle name="20% - Accent3 3 2 2 2 3" xfId="11310" xr:uid="{F3C7D58F-CA50-4901-80F8-A9E9EE1CC191}"/>
    <cellStyle name="20% - Accent3 3 2 2 3" xfId="4941" xr:uid="{00000000-0005-0000-0000-000097010000}"/>
    <cellStyle name="20% - Accent3 3 2 2 3 2" xfId="13383" xr:uid="{4BB69F28-A6D9-472F-9663-0076D4D4B1AA}"/>
    <cellStyle name="20% - Accent3 3 2 2 4" xfId="9165" xr:uid="{879EB4EF-7D07-4A7D-9AC6-79F4994294FC}"/>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AA11047C-F500-4363-BDC4-7669C4942B7A}"/>
    <cellStyle name="20% - Accent3 3 2 3 2 3" xfId="11723" xr:uid="{3755FB27-6A5E-4A03-95E1-BCC1F1500B93}"/>
    <cellStyle name="20% - Accent3 3 2 3 3" xfId="5354" xr:uid="{00000000-0005-0000-0000-00009B010000}"/>
    <cellStyle name="20% - Accent3 3 2 3 3 2" xfId="13796" xr:uid="{C6762031-EA28-476A-9415-6163C35BFAFD}"/>
    <cellStyle name="20% - Accent3 3 2 3 4" xfId="9578" xr:uid="{2E988EB1-A9B2-4EDE-A61E-45D92D839204}"/>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394DFBD8-9139-42CA-AE91-8A08F15394CF}"/>
    <cellStyle name="20% - Accent3 3 2 4 2 3" xfId="12136" xr:uid="{B450D0EF-00C3-4A55-B8B6-D1478A04DAA1}"/>
    <cellStyle name="20% - Accent3 3 2 4 3" xfId="5767" xr:uid="{00000000-0005-0000-0000-00009F010000}"/>
    <cellStyle name="20% - Accent3 3 2 4 3 2" xfId="14209" xr:uid="{5EE61E85-F5AB-426D-9019-D3579267305A}"/>
    <cellStyle name="20% - Accent3 3 2 4 4" xfId="9991" xr:uid="{78E088E6-D383-4A09-B462-4F485C6E3FA1}"/>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B30D4376-3926-4B36-B43D-A1DA932CAEFE}"/>
    <cellStyle name="20% - Accent3 3 2 5 2 3" xfId="12549" xr:uid="{508C1783-8888-429F-BB44-B91BC995B1CC}"/>
    <cellStyle name="20% - Accent3 3 2 5 3" xfId="6180" xr:uid="{00000000-0005-0000-0000-0000A3010000}"/>
    <cellStyle name="20% - Accent3 3 2 5 3 2" xfId="14622" xr:uid="{82F45690-BFFB-44EF-A14A-2070678F82F2}"/>
    <cellStyle name="20% - Accent3 3 2 5 4" xfId="10404" xr:uid="{AE319F62-BE81-40D8-BDD6-87571123126B}"/>
    <cellStyle name="20% - Accent3 3 2 6" xfId="2286" xr:uid="{00000000-0005-0000-0000-0000A4010000}"/>
    <cellStyle name="20% - Accent3 3 2 6 2" xfId="6593" xr:uid="{00000000-0005-0000-0000-0000A5010000}"/>
    <cellStyle name="20% - Accent3 3 2 6 2 2" xfId="15035" xr:uid="{40E43608-DDC7-4CEF-8534-D04613B83106}"/>
    <cellStyle name="20% - Accent3 3 2 6 3" xfId="10817" xr:uid="{FCFFF9A0-7653-431D-B88F-F042696A8F99}"/>
    <cellStyle name="20% - Accent3 3 2 7" xfId="4527" xr:uid="{00000000-0005-0000-0000-0000A6010000}"/>
    <cellStyle name="20% - Accent3 3 2 7 2" xfId="12969" xr:uid="{003AF2C7-B112-4A64-8633-542077158680}"/>
    <cellStyle name="20% - Accent3 3 2 8" xfId="8751" xr:uid="{2B60161F-493A-4337-8A4A-A8BEDD86C5EB}"/>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36DABA37-212B-4B73-8EE5-16054FF90429}"/>
    <cellStyle name="20% - Accent3 3 3 2 3" xfId="11309" xr:uid="{67BA43BD-A882-4245-8ACA-523163929B20}"/>
    <cellStyle name="20% - Accent3 3 3 3" xfId="4940" xr:uid="{00000000-0005-0000-0000-0000AA010000}"/>
    <cellStyle name="20% - Accent3 3 3 3 2" xfId="13382" xr:uid="{F3E06321-83B6-4110-AD1D-23B01A900B67}"/>
    <cellStyle name="20% - Accent3 3 3 4" xfId="9164" xr:uid="{50643A42-485E-456A-82B7-1B527F771E2F}"/>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7F0E8AA2-1F1D-49C3-BA25-D7E99662DFE5}"/>
    <cellStyle name="20% - Accent3 3 4 2 3" xfId="11722" xr:uid="{E4D644F1-C0C7-4B6D-89C5-FF9D9303B5F6}"/>
    <cellStyle name="20% - Accent3 3 4 3" xfId="5353" xr:uid="{00000000-0005-0000-0000-0000AE010000}"/>
    <cellStyle name="20% - Accent3 3 4 3 2" xfId="13795" xr:uid="{2A5465D6-0BF3-43DC-BD70-E727C7DDD47F}"/>
    <cellStyle name="20% - Accent3 3 4 4" xfId="9577" xr:uid="{349EE0DB-3D5C-465A-B4FD-EE45F02E942F}"/>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CC753AAB-05E7-4505-98BE-137DEC0BF276}"/>
    <cellStyle name="20% - Accent3 3 5 2 3" xfId="12135" xr:uid="{066D20AE-B562-44F8-8795-E25DED3C2FC8}"/>
    <cellStyle name="20% - Accent3 3 5 3" xfId="5766" xr:uid="{00000000-0005-0000-0000-0000B2010000}"/>
    <cellStyle name="20% - Accent3 3 5 3 2" xfId="14208" xr:uid="{6CBBF83F-240E-4CA0-97EC-DD6EB248004B}"/>
    <cellStyle name="20% - Accent3 3 5 4" xfId="9990" xr:uid="{6321352D-399A-4EE5-A62B-788C0BD10580}"/>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349E6397-8A8A-4247-B05B-5008043583F8}"/>
    <cellStyle name="20% - Accent3 3 6 2 3" xfId="12548" xr:uid="{4E4855C3-33D8-457D-956F-7B4AC7B86CCA}"/>
    <cellStyle name="20% - Accent3 3 6 3" xfId="6179" xr:uid="{00000000-0005-0000-0000-0000B6010000}"/>
    <cellStyle name="20% - Accent3 3 6 3 2" xfId="14621" xr:uid="{BBD61EC8-76DC-4C44-9A85-7179E764D14D}"/>
    <cellStyle name="20% - Accent3 3 6 4" xfId="10403" xr:uid="{60F8EAF4-3830-4CFF-AB38-CC134B06CBFE}"/>
    <cellStyle name="20% - Accent3 3 7" xfId="2285" xr:uid="{00000000-0005-0000-0000-0000B7010000}"/>
    <cellStyle name="20% - Accent3 3 7 2" xfId="6592" xr:uid="{00000000-0005-0000-0000-0000B8010000}"/>
    <cellStyle name="20% - Accent3 3 7 2 2" xfId="15034" xr:uid="{6D044C67-E7D9-4241-B19D-20A6873390B0}"/>
    <cellStyle name="20% - Accent3 3 7 3" xfId="10816" xr:uid="{2B41BFF7-7D86-45B1-8F9A-5B8EEE3BF3BD}"/>
    <cellStyle name="20% - Accent3 3 8" xfId="4526" xr:uid="{00000000-0005-0000-0000-0000B9010000}"/>
    <cellStyle name="20% - Accent3 3 8 2" xfId="12968" xr:uid="{A4926CA9-3DEB-429A-9307-B75213899E22}"/>
    <cellStyle name="20% - Accent3 3 9" xfId="8750" xr:uid="{CACAD29A-298A-425A-A96A-1CAC1455E94A}"/>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92735DA2-5A00-4140-A957-C6E35DAEEA3B}"/>
    <cellStyle name="20% - Accent3 4 2 2 3" xfId="11311" xr:uid="{2F7150A1-6242-449A-9878-2B5E62E7DBFB}"/>
    <cellStyle name="20% - Accent3 4 2 3" xfId="4942" xr:uid="{00000000-0005-0000-0000-0000BE010000}"/>
    <cellStyle name="20% - Accent3 4 2 3 2" xfId="13384" xr:uid="{6D50A993-4DD7-4F1E-9258-D93E933FA449}"/>
    <cellStyle name="20% - Accent3 4 2 4" xfId="9166" xr:uid="{E1618158-9AB9-4A16-8375-EC8971162CDA}"/>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33469307-6467-4263-B4A1-DDC44C986C1F}"/>
    <cellStyle name="20% - Accent3 4 3 2 3" xfId="11724" xr:uid="{56C2B73E-20DC-4B61-BBD7-0BAEFBFB79F7}"/>
    <cellStyle name="20% - Accent3 4 3 3" xfId="5355" xr:uid="{00000000-0005-0000-0000-0000C2010000}"/>
    <cellStyle name="20% - Accent3 4 3 3 2" xfId="13797" xr:uid="{FD6ED511-2987-4E46-9BE0-BE51EAFBE934}"/>
    <cellStyle name="20% - Accent3 4 3 4" xfId="9579" xr:uid="{7F0CFBD2-BD80-4C7D-B805-1203F29C6261}"/>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0C3EB7CF-74BC-4114-AFC6-79DD4D7E41E6}"/>
    <cellStyle name="20% - Accent3 4 4 2 3" xfId="12137" xr:uid="{8DDF8A6C-6FCB-464D-B541-202D4CCF8AA5}"/>
    <cellStyle name="20% - Accent3 4 4 3" xfId="5768" xr:uid="{00000000-0005-0000-0000-0000C6010000}"/>
    <cellStyle name="20% - Accent3 4 4 3 2" xfId="14210" xr:uid="{7F1D6379-BF1A-4ACA-A1AE-35D0FE01AC99}"/>
    <cellStyle name="20% - Accent3 4 4 4" xfId="9992" xr:uid="{2F6BF92C-1FF6-4008-83E8-68A5A79339E8}"/>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08AB08A1-1970-4554-BB3C-E8A5F8D26853}"/>
    <cellStyle name="20% - Accent3 4 5 2 3" xfId="12550" xr:uid="{1DB1CC8E-9635-447B-BFFF-D91B9D2B9246}"/>
    <cellStyle name="20% - Accent3 4 5 3" xfId="6181" xr:uid="{00000000-0005-0000-0000-0000CA010000}"/>
    <cellStyle name="20% - Accent3 4 5 3 2" xfId="14623" xr:uid="{A35AD24F-32EB-40DA-8C66-8CFA8E50D94C}"/>
    <cellStyle name="20% - Accent3 4 5 4" xfId="10405" xr:uid="{3DCA2581-2F5A-4002-9749-32E7C873A515}"/>
    <cellStyle name="20% - Accent3 4 6" xfId="2287" xr:uid="{00000000-0005-0000-0000-0000CB010000}"/>
    <cellStyle name="20% - Accent3 4 6 2" xfId="6594" xr:uid="{00000000-0005-0000-0000-0000CC010000}"/>
    <cellStyle name="20% - Accent3 4 6 2 2" xfId="15036" xr:uid="{098946C5-E5E6-477D-A169-CB0513AAF115}"/>
    <cellStyle name="20% - Accent3 4 6 3" xfId="10818" xr:uid="{274CC452-BA65-4C79-95BA-7255AD3A4B61}"/>
    <cellStyle name="20% - Accent3 4 7" xfId="4528" xr:uid="{00000000-0005-0000-0000-0000CD010000}"/>
    <cellStyle name="20% - Accent3 4 7 2" xfId="12970" xr:uid="{70E49F8A-A9AA-4DAD-82E9-5BDEC8C63C35}"/>
    <cellStyle name="20% - Accent3 4 8" xfId="8752" xr:uid="{DE99766E-498E-4DAC-98DA-FD02AF4CA6A7}"/>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50539A66-EB45-446C-9FA4-9E7E59E9F44B}"/>
    <cellStyle name="20% - Accent3 5 2 3" xfId="11304" xr:uid="{87E5163A-EC33-42B1-B353-4A623225EA4D}"/>
    <cellStyle name="20% - Accent3 5 3" xfId="4935" xr:uid="{00000000-0005-0000-0000-0000D1010000}"/>
    <cellStyle name="20% - Accent3 5 3 2" xfId="13377" xr:uid="{3437EEA3-5D40-4EF4-AC68-7911EDB3A406}"/>
    <cellStyle name="20% - Accent3 5 4" xfId="9159" xr:uid="{AD342127-FC66-44B7-993A-1FD4CC274329}"/>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A9CA9F87-B2CA-45CA-8CE7-2AD5BE5FEB6F}"/>
    <cellStyle name="20% - Accent3 6 2 3" xfId="11717" xr:uid="{8C8DF778-366D-4578-AE82-4FC32398787E}"/>
    <cellStyle name="20% - Accent3 6 3" xfId="5348" xr:uid="{00000000-0005-0000-0000-0000D5010000}"/>
    <cellStyle name="20% - Accent3 6 3 2" xfId="13790" xr:uid="{A21A1A80-A228-478F-A2E6-578EF3786681}"/>
    <cellStyle name="20% - Accent3 6 4" xfId="9572" xr:uid="{1AD2F4CB-4184-4A85-8493-D05B9A9857FD}"/>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B701B017-0A68-495A-AA93-2787FBEBEAED}"/>
    <cellStyle name="20% - Accent3 7 2 3" xfId="12130" xr:uid="{1BE1055A-E8D5-4853-990F-912F9402BAEF}"/>
    <cellStyle name="20% - Accent3 7 3" xfId="5761" xr:uid="{00000000-0005-0000-0000-0000D9010000}"/>
    <cellStyle name="20% - Accent3 7 3 2" xfId="14203" xr:uid="{21D47912-C169-442E-8B39-54BFF9DCFE60}"/>
    <cellStyle name="20% - Accent3 7 4" xfId="9985" xr:uid="{AB9CA9C9-0F13-4365-BB66-3CD190D41D1C}"/>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647491D2-3B98-45DB-9D4B-D495356EAE13}"/>
    <cellStyle name="20% - Accent3 8 2 3" xfId="12543" xr:uid="{65A8CDB5-3450-4B30-96F3-DAC4F39958A7}"/>
    <cellStyle name="20% - Accent3 8 3" xfId="6174" xr:uid="{00000000-0005-0000-0000-0000DD010000}"/>
    <cellStyle name="20% - Accent3 8 3 2" xfId="14616" xr:uid="{E51B1CE3-3D19-416A-B33F-86BB6BFECABE}"/>
    <cellStyle name="20% - Accent3 8 4" xfId="10398" xr:uid="{9293F43D-B5D0-49E2-A615-0E4574FE3AFA}"/>
    <cellStyle name="20% - Accent3 9" xfId="2280" xr:uid="{00000000-0005-0000-0000-0000DE010000}"/>
    <cellStyle name="20% - Accent3 9 2" xfId="6587" xr:uid="{00000000-0005-0000-0000-0000DF010000}"/>
    <cellStyle name="20% - Accent3 9 2 2" xfId="15029" xr:uid="{C2352F76-5F46-4F9B-B89A-EA802C6C51FC}"/>
    <cellStyle name="20% - Accent3 9 3" xfId="10811" xr:uid="{6254EE6B-9351-44BD-9B3C-9E831B9E981A}"/>
    <cellStyle name="20% - Accent4" xfId="25" builtinId="42" customBuiltin="1"/>
    <cellStyle name="20% - Accent4 10" xfId="4529" xr:uid="{00000000-0005-0000-0000-0000E1010000}"/>
    <cellStyle name="20% - Accent4 10 2" xfId="12971" xr:uid="{1384D145-8C53-4315-9C59-C14F121A6B10}"/>
    <cellStyle name="20% - Accent4 11" xfId="8753" xr:uid="{000C85CD-82CE-4313-91C3-FBB31CCA1E70}"/>
    <cellStyle name="20% - Accent4 2" xfId="26" xr:uid="{00000000-0005-0000-0000-0000E2010000}"/>
    <cellStyle name="20% - Accent4 2 10" xfId="8754" xr:uid="{49DC74DB-B039-4B57-B976-C459EA25FFBC}"/>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29FE2F6B-96FB-43C6-B8F7-7AEC017BE2B4}"/>
    <cellStyle name="20% - Accent4 2 2 2 2 2 3" xfId="11315" xr:uid="{22C14F5E-A5BA-42CF-86B6-2B91078CD5E2}"/>
    <cellStyle name="20% - Accent4 2 2 2 2 3" xfId="4946" xr:uid="{00000000-0005-0000-0000-0000E8010000}"/>
    <cellStyle name="20% - Accent4 2 2 2 2 3 2" xfId="13388" xr:uid="{3475F9BB-96A9-4291-BE54-3643657D8E37}"/>
    <cellStyle name="20% - Accent4 2 2 2 2 4" xfId="9170" xr:uid="{76D140CC-96E2-4E08-8D67-86D4BC6F3995}"/>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A48204E0-895B-4699-AD18-84187C9B18D3}"/>
    <cellStyle name="20% - Accent4 2 2 2 3 2 3" xfId="11728" xr:uid="{5D1461F2-EE02-47C8-8EC8-4C4A4A28571D}"/>
    <cellStyle name="20% - Accent4 2 2 2 3 3" xfId="5359" xr:uid="{00000000-0005-0000-0000-0000EC010000}"/>
    <cellStyle name="20% - Accent4 2 2 2 3 3 2" xfId="13801" xr:uid="{A1557A49-48EF-43FF-B699-F9FEDF0E0636}"/>
    <cellStyle name="20% - Accent4 2 2 2 3 4" xfId="9583" xr:uid="{C0C2AB84-2C1B-4EE2-8670-6AB0E7EFE434}"/>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734C868D-58E6-4CFB-9928-EE622F5455A9}"/>
    <cellStyle name="20% - Accent4 2 2 2 4 2 3" xfId="12141" xr:uid="{09318515-E048-47AF-81C0-966BFDE5F3CC}"/>
    <cellStyle name="20% - Accent4 2 2 2 4 3" xfId="5772" xr:uid="{00000000-0005-0000-0000-0000F0010000}"/>
    <cellStyle name="20% - Accent4 2 2 2 4 3 2" xfId="14214" xr:uid="{A9DA61D5-D3C2-45E5-BA96-FAAB7F174E6F}"/>
    <cellStyle name="20% - Accent4 2 2 2 4 4" xfId="9996" xr:uid="{BAD56422-EEEA-430A-8DEF-9C3D8238E35F}"/>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81A6009A-65E6-40F3-8363-76DB6BF4E358}"/>
    <cellStyle name="20% - Accent4 2 2 2 5 2 3" xfId="12554" xr:uid="{B41A4276-740F-4411-81A7-6419320DB2AC}"/>
    <cellStyle name="20% - Accent4 2 2 2 5 3" xfId="6185" xr:uid="{00000000-0005-0000-0000-0000F4010000}"/>
    <cellStyle name="20% - Accent4 2 2 2 5 3 2" xfId="14627" xr:uid="{FCAD6125-5364-449C-BADE-C9DECBE53122}"/>
    <cellStyle name="20% - Accent4 2 2 2 5 4" xfId="10409" xr:uid="{6E133A7F-24E6-47BC-9575-B2BAAF127C40}"/>
    <cellStyle name="20% - Accent4 2 2 2 6" xfId="2291" xr:uid="{00000000-0005-0000-0000-0000F5010000}"/>
    <cellStyle name="20% - Accent4 2 2 2 6 2" xfId="6598" xr:uid="{00000000-0005-0000-0000-0000F6010000}"/>
    <cellStyle name="20% - Accent4 2 2 2 6 2 2" xfId="15040" xr:uid="{351888F2-9D75-4916-BF4B-37EBD6B0ABF2}"/>
    <cellStyle name="20% - Accent4 2 2 2 6 3" xfId="10822" xr:uid="{37775ABF-7688-4F3E-8AFF-2AEBCE11B23A}"/>
    <cellStyle name="20% - Accent4 2 2 2 7" xfId="4532" xr:uid="{00000000-0005-0000-0000-0000F7010000}"/>
    <cellStyle name="20% - Accent4 2 2 2 7 2" xfId="12974" xr:uid="{315E3AFE-4355-4FDD-8463-D7B18858DE7F}"/>
    <cellStyle name="20% - Accent4 2 2 2 8" xfId="8756" xr:uid="{ACF508F8-8F20-4B34-8742-611207701260}"/>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35E29C1F-ADD9-4A5B-B56C-573DF5ABF412}"/>
    <cellStyle name="20% - Accent4 2 2 3 2 3" xfId="11314" xr:uid="{84AD275A-8F81-4CD0-BD95-FBE56273A124}"/>
    <cellStyle name="20% - Accent4 2 2 3 3" xfId="4945" xr:uid="{00000000-0005-0000-0000-0000FB010000}"/>
    <cellStyle name="20% - Accent4 2 2 3 3 2" xfId="13387" xr:uid="{B95CB50D-75D4-4D63-8620-A18A7AD26288}"/>
    <cellStyle name="20% - Accent4 2 2 3 4" xfId="9169" xr:uid="{C5C8AFDE-9FAD-4EDF-B1FC-D470EF1B67B2}"/>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DB77EC20-47DF-4352-BA2D-D20C5F750332}"/>
    <cellStyle name="20% - Accent4 2 2 4 2 3" xfId="11727" xr:uid="{8722634B-100C-42E8-8578-88BB2ACC67AD}"/>
    <cellStyle name="20% - Accent4 2 2 4 3" xfId="5358" xr:uid="{00000000-0005-0000-0000-0000FF010000}"/>
    <cellStyle name="20% - Accent4 2 2 4 3 2" xfId="13800" xr:uid="{771A8226-1854-4955-B7B1-0B749FE332D8}"/>
    <cellStyle name="20% - Accent4 2 2 4 4" xfId="9582" xr:uid="{6E847C17-690C-46BB-875F-EB53764AA7B1}"/>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5CE65B15-B90C-4DE7-9DD4-73ABA4FCB8E7}"/>
    <cellStyle name="20% - Accent4 2 2 5 2 3" xfId="12140" xr:uid="{94E849EC-710D-4B2B-8A4F-9FE7571D6EAB}"/>
    <cellStyle name="20% - Accent4 2 2 5 3" xfId="5771" xr:uid="{00000000-0005-0000-0000-000003020000}"/>
    <cellStyle name="20% - Accent4 2 2 5 3 2" xfId="14213" xr:uid="{4565ECAE-F986-4823-9BBF-08FD4E55FA0B}"/>
    <cellStyle name="20% - Accent4 2 2 5 4" xfId="9995" xr:uid="{19C53DF1-D036-47CD-8E22-22121680D32D}"/>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5966B317-43A9-453B-A936-EB6D8F9A7645}"/>
    <cellStyle name="20% - Accent4 2 2 6 2 3" xfId="12553" xr:uid="{B8A6F5DE-CF23-439D-97B9-D3C2FA6ED6F4}"/>
    <cellStyle name="20% - Accent4 2 2 6 3" xfId="6184" xr:uid="{00000000-0005-0000-0000-000007020000}"/>
    <cellStyle name="20% - Accent4 2 2 6 3 2" xfId="14626" xr:uid="{17785C4F-E05B-4BCA-B082-A1CF28120D47}"/>
    <cellStyle name="20% - Accent4 2 2 6 4" xfId="10408" xr:uid="{62F34635-5E1A-44A3-8228-C951AFE753D7}"/>
    <cellStyle name="20% - Accent4 2 2 7" xfId="2290" xr:uid="{00000000-0005-0000-0000-000008020000}"/>
    <cellStyle name="20% - Accent4 2 2 7 2" xfId="6597" xr:uid="{00000000-0005-0000-0000-000009020000}"/>
    <cellStyle name="20% - Accent4 2 2 7 2 2" xfId="15039" xr:uid="{2E786051-6133-4CDF-98D8-1F3C6541E521}"/>
    <cellStyle name="20% - Accent4 2 2 7 3" xfId="10821" xr:uid="{29B691F3-77AA-47A2-B9EB-65671F53EF31}"/>
    <cellStyle name="20% - Accent4 2 2 8" xfId="4531" xr:uid="{00000000-0005-0000-0000-00000A020000}"/>
    <cellStyle name="20% - Accent4 2 2 8 2" xfId="12973" xr:uid="{35D12AD0-6411-44FE-98A2-E9388D31DE54}"/>
    <cellStyle name="20% - Accent4 2 2 9" xfId="8755" xr:uid="{1A6DFAC7-8239-4D77-BA3A-373A2AD7876B}"/>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42C161B5-D736-4BA9-B8F5-354AA41752F1}"/>
    <cellStyle name="20% - Accent4 2 3 2 2 3" xfId="11316" xr:uid="{AA9F307F-D420-4E19-AAC8-FA4CEFA43363}"/>
    <cellStyle name="20% - Accent4 2 3 2 3" xfId="4947" xr:uid="{00000000-0005-0000-0000-00000F020000}"/>
    <cellStyle name="20% - Accent4 2 3 2 3 2" xfId="13389" xr:uid="{A657239B-3AC1-49B1-A987-FCA24DC0676B}"/>
    <cellStyle name="20% - Accent4 2 3 2 4" xfId="9171" xr:uid="{1DCF0B26-A827-4F35-B9BF-4C51B679EA58}"/>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3B669BFB-278A-4F55-A70C-BEA7388F6931}"/>
    <cellStyle name="20% - Accent4 2 3 3 2 3" xfId="11729" xr:uid="{7FC3420F-5F18-4E48-B536-AC1836DCCD40}"/>
    <cellStyle name="20% - Accent4 2 3 3 3" xfId="5360" xr:uid="{00000000-0005-0000-0000-000013020000}"/>
    <cellStyle name="20% - Accent4 2 3 3 3 2" xfId="13802" xr:uid="{73A0094D-E997-430D-9936-F242A548C855}"/>
    <cellStyle name="20% - Accent4 2 3 3 4" xfId="9584" xr:uid="{052B2E04-82AF-4603-8CD0-BA96F5CEAE40}"/>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CD259F45-98CA-45F0-A197-CF521130B86B}"/>
    <cellStyle name="20% - Accent4 2 3 4 2 3" xfId="12142" xr:uid="{23981699-4383-4877-B78E-8E8F3D43400B}"/>
    <cellStyle name="20% - Accent4 2 3 4 3" xfId="5773" xr:uid="{00000000-0005-0000-0000-000017020000}"/>
    <cellStyle name="20% - Accent4 2 3 4 3 2" xfId="14215" xr:uid="{9EA4661C-85CF-408A-A83A-796591900DD7}"/>
    <cellStyle name="20% - Accent4 2 3 4 4" xfId="9997" xr:uid="{6640141D-AA99-4A04-B9F9-64EE3A9D27AB}"/>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842597D0-745A-459E-8F8D-3142A0D12335}"/>
    <cellStyle name="20% - Accent4 2 3 5 2 3" xfId="12555" xr:uid="{3E218B39-D6F3-42AE-844B-90DBE2511FCE}"/>
    <cellStyle name="20% - Accent4 2 3 5 3" xfId="6186" xr:uid="{00000000-0005-0000-0000-00001B020000}"/>
    <cellStyle name="20% - Accent4 2 3 5 3 2" xfId="14628" xr:uid="{0E91EEAD-1F96-40A5-ADD6-F3A748424EE8}"/>
    <cellStyle name="20% - Accent4 2 3 5 4" xfId="10410" xr:uid="{8C0C5FA9-82BC-45E9-B814-A29C55BA24DE}"/>
    <cellStyle name="20% - Accent4 2 3 6" xfId="2292" xr:uid="{00000000-0005-0000-0000-00001C020000}"/>
    <cellStyle name="20% - Accent4 2 3 6 2" xfId="6599" xr:uid="{00000000-0005-0000-0000-00001D020000}"/>
    <cellStyle name="20% - Accent4 2 3 6 2 2" xfId="15041" xr:uid="{1D4035E7-4DF7-4C80-88BC-1270FFB4B669}"/>
    <cellStyle name="20% - Accent4 2 3 6 3" xfId="10823" xr:uid="{FD9ADC56-4D70-472B-BB9A-346DC4DD91FA}"/>
    <cellStyle name="20% - Accent4 2 3 7" xfId="4533" xr:uid="{00000000-0005-0000-0000-00001E020000}"/>
    <cellStyle name="20% - Accent4 2 3 7 2" xfId="12975" xr:uid="{AFA39CB8-5EA5-4AF4-BC3B-BA80A0AA88ED}"/>
    <cellStyle name="20% - Accent4 2 3 8" xfId="8757" xr:uid="{B1830D2B-4E1E-42F3-A949-B3A7F88529C5}"/>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74C07C1E-99CC-4DB8-8B81-D69B92FA2FD9}"/>
    <cellStyle name="20% - Accent4 2 4 2 3" xfId="11313" xr:uid="{AE8EDA1C-2886-4615-8B81-03315E27D444}"/>
    <cellStyle name="20% - Accent4 2 4 3" xfId="4944" xr:uid="{00000000-0005-0000-0000-000022020000}"/>
    <cellStyle name="20% - Accent4 2 4 3 2" xfId="13386" xr:uid="{E6C0DD88-0833-4724-AADC-E0BBDDC5424A}"/>
    <cellStyle name="20% - Accent4 2 4 4" xfId="9168" xr:uid="{653093E3-9134-485E-926C-1A583419DC99}"/>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B9D9880C-1630-42F4-B4D7-48A3FBB1B232}"/>
    <cellStyle name="20% - Accent4 2 5 2 3" xfId="11726" xr:uid="{7B653CD7-605A-4679-85CD-A908ED8CA7FF}"/>
    <cellStyle name="20% - Accent4 2 5 3" xfId="5357" xr:uid="{00000000-0005-0000-0000-000026020000}"/>
    <cellStyle name="20% - Accent4 2 5 3 2" xfId="13799" xr:uid="{CE5C5852-3572-4B77-89DA-3EB4F6FA6FE0}"/>
    <cellStyle name="20% - Accent4 2 5 4" xfId="9581" xr:uid="{47065794-A163-4C4C-A113-5ACC828D23B5}"/>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97A9C94B-27B0-4591-8F21-C8767219EF2E}"/>
    <cellStyle name="20% - Accent4 2 6 2 3" xfId="12139" xr:uid="{FC2021FD-0420-466A-9968-8B98B00BD368}"/>
    <cellStyle name="20% - Accent4 2 6 3" xfId="5770" xr:uid="{00000000-0005-0000-0000-00002A020000}"/>
    <cellStyle name="20% - Accent4 2 6 3 2" xfId="14212" xr:uid="{0FAE4EC5-5631-4DD5-A224-5F08A66F8756}"/>
    <cellStyle name="20% - Accent4 2 6 4" xfId="9994" xr:uid="{637C8F97-0CD5-4EC1-AC25-4F7CF8ECD58C}"/>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DF0913EA-4AF7-4251-AF57-B01BD0633650}"/>
    <cellStyle name="20% - Accent4 2 7 2 3" xfId="12552" xr:uid="{2D12BD26-9B74-4C37-A026-5B6ED731074D}"/>
    <cellStyle name="20% - Accent4 2 7 3" xfId="6183" xr:uid="{00000000-0005-0000-0000-00002E020000}"/>
    <cellStyle name="20% - Accent4 2 7 3 2" xfId="14625" xr:uid="{B6F8EC58-F574-4BBA-B5FE-D7E53619C737}"/>
    <cellStyle name="20% - Accent4 2 7 4" xfId="10407" xr:uid="{9E4E67A1-1AE8-4B8F-AF68-7E7E23C36CEC}"/>
    <cellStyle name="20% - Accent4 2 8" xfId="2289" xr:uid="{00000000-0005-0000-0000-00002F020000}"/>
    <cellStyle name="20% - Accent4 2 8 2" xfId="6596" xr:uid="{00000000-0005-0000-0000-000030020000}"/>
    <cellStyle name="20% - Accent4 2 8 2 2" xfId="15038" xr:uid="{94DBC121-0074-4DA4-A632-A1ABBEDEB95C}"/>
    <cellStyle name="20% - Accent4 2 8 3" xfId="10820" xr:uid="{87D5920B-E3FA-41C0-809A-5A700770E86E}"/>
    <cellStyle name="20% - Accent4 2 9" xfId="4530" xr:uid="{00000000-0005-0000-0000-000031020000}"/>
    <cellStyle name="20% - Accent4 2 9 2" xfId="12972" xr:uid="{3D751662-6FEA-4474-A58B-274ABCC284DF}"/>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50EBD1E6-1A13-4A1C-B285-AB8908529EBC}"/>
    <cellStyle name="20% - Accent4 3 2 2 2 3" xfId="11318" xr:uid="{FC73C1E8-D83C-47BC-A0B3-0C351C487FF2}"/>
    <cellStyle name="20% - Accent4 3 2 2 3" xfId="4949" xr:uid="{00000000-0005-0000-0000-000037020000}"/>
    <cellStyle name="20% - Accent4 3 2 2 3 2" xfId="13391" xr:uid="{F3A8CC46-AB55-42CE-A3D3-77EEEC977374}"/>
    <cellStyle name="20% - Accent4 3 2 2 4" xfId="9173" xr:uid="{019072E5-C39E-45A7-B42A-BBC7073A0605}"/>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C1A6A435-A272-4F8E-8CD4-F25315EAC796}"/>
    <cellStyle name="20% - Accent4 3 2 3 2 3" xfId="11731" xr:uid="{420BCC2C-6862-4F7D-9837-12144C8697AB}"/>
    <cellStyle name="20% - Accent4 3 2 3 3" xfId="5362" xr:uid="{00000000-0005-0000-0000-00003B020000}"/>
    <cellStyle name="20% - Accent4 3 2 3 3 2" xfId="13804" xr:uid="{FEC0B565-97E9-494E-845F-10DD8E967DF2}"/>
    <cellStyle name="20% - Accent4 3 2 3 4" xfId="9586" xr:uid="{3568921D-83BE-4D38-90AC-D5FE20BF3682}"/>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7909CDB7-8E4C-486A-B86F-0E08AF6A214A}"/>
    <cellStyle name="20% - Accent4 3 2 4 2 3" xfId="12144" xr:uid="{B7B8127E-686C-494B-A02B-C061476061B3}"/>
    <cellStyle name="20% - Accent4 3 2 4 3" xfId="5775" xr:uid="{00000000-0005-0000-0000-00003F020000}"/>
    <cellStyle name="20% - Accent4 3 2 4 3 2" xfId="14217" xr:uid="{0298BB7B-BBF2-4076-9682-BD2E0BD39C04}"/>
    <cellStyle name="20% - Accent4 3 2 4 4" xfId="9999" xr:uid="{092F17F7-C587-4FE4-8CE1-216BE2725151}"/>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703D927D-01D5-4EFE-A5D9-BEA82A9D1F13}"/>
    <cellStyle name="20% - Accent4 3 2 5 2 3" xfId="12557" xr:uid="{86E1F6A1-2980-4187-A3FB-FA39F562833B}"/>
    <cellStyle name="20% - Accent4 3 2 5 3" xfId="6188" xr:uid="{00000000-0005-0000-0000-000043020000}"/>
    <cellStyle name="20% - Accent4 3 2 5 3 2" xfId="14630" xr:uid="{F7EDB9B3-F5D7-4BE3-824E-519B8EA11DCB}"/>
    <cellStyle name="20% - Accent4 3 2 5 4" xfId="10412" xr:uid="{14C0EA2A-B247-45B2-B21C-04BEDFB27341}"/>
    <cellStyle name="20% - Accent4 3 2 6" xfId="2294" xr:uid="{00000000-0005-0000-0000-000044020000}"/>
    <cellStyle name="20% - Accent4 3 2 6 2" xfId="6601" xr:uid="{00000000-0005-0000-0000-000045020000}"/>
    <cellStyle name="20% - Accent4 3 2 6 2 2" xfId="15043" xr:uid="{2749ADC0-6313-493A-834F-8DCC367AFF7B}"/>
    <cellStyle name="20% - Accent4 3 2 6 3" xfId="10825" xr:uid="{BF253A94-DBD9-4A67-9681-007F13FB229E}"/>
    <cellStyle name="20% - Accent4 3 2 7" xfId="4535" xr:uid="{00000000-0005-0000-0000-000046020000}"/>
    <cellStyle name="20% - Accent4 3 2 7 2" xfId="12977" xr:uid="{7EAE6DDE-2DFD-4B2D-A664-404E8E25DC52}"/>
    <cellStyle name="20% - Accent4 3 2 8" xfId="8759" xr:uid="{1162234D-CA23-4D01-B5A8-2ED36C038CEB}"/>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A3FAE982-6B36-4C49-BD80-9E4D82FD6E77}"/>
    <cellStyle name="20% - Accent4 3 3 2 3" xfId="11317" xr:uid="{73515CEB-B1B0-4158-AB4E-B6E58D9F3886}"/>
    <cellStyle name="20% - Accent4 3 3 3" xfId="4948" xr:uid="{00000000-0005-0000-0000-00004A020000}"/>
    <cellStyle name="20% - Accent4 3 3 3 2" xfId="13390" xr:uid="{646FD1E7-EC16-40D5-AC82-5ED9BAD592BE}"/>
    <cellStyle name="20% - Accent4 3 3 4" xfId="9172" xr:uid="{0E585D83-1E99-47B1-9405-9B581510D7BE}"/>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CEE0DB83-D613-4790-9221-3984A9F95AA1}"/>
    <cellStyle name="20% - Accent4 3 4 2 3" xfId="11730" xr:uid="{9A6C3C2D-0D21-4135-B0AD-81E4E2C47571}"/>
    <cellStyle name="20% - Accent4 3 4 3" xfId="5361" xr:uid="{00000000-0005-0000-0000-00004E020000}"/>
    <cellStyle name="20% - Accent4 3 4 3 2" xfId="13803" xr:uid="{181AC293-6379-4682-B90D-2B227D24544B}"/>
    <cellStyle name="20% - Accent4 3 4 4" xfId="9585" xr:uid="{955D91A8-C828-4B57-ACDB-8F5984B18061}"/>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58ABB50A-37FA-415A-9F68-CC36F06CE2F4}"/>
    <cellStyle name="20% - Accent4 3 5 2 3" xfId="12143" xr:uid="{BC501CE9-BABC-41EC-AE76-18C1A98F9B8F}"/>
    <cellStyle name="20% - Accent4 3 5 3" xfId="5774" xr:uid="{00000000-0005-0000-0000-000052020000}"/>
    <cellStyle name="20% - Accent4 3 5 3 2" xfId="14216" xr:uid="{6E629C01-A05F-44E4-AA54-3AD485EAEDD3}"/>
    <cellStyle name="20% - Accent4 3 5 4" xfId="9998" xr:uid="{B1C0AD23-8578-4EA9-91A8-4F425881443E}"/>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41ADBA4D-9F8D-462C-B8EA-B77E37C257FD}"/>
    <cellStyle name="20% - Accent4 3 6 2 3" xfId="12556" xr:uid="{6C7E2C0E-8CBE-4107-BF20-B550CDFBC713}"/>
    <cellStyle name="20% - Accent4 3 6 3" xfId="6187" xr:uid="{00000000-0005-0000-0000-000056020000}"/>
    <cellStyle name="20% - Accent4 3 6 3 2" xfId="14629" xr:uid="{76F43893-7209-48C2-87D2-3EE971A1BCC5}"/>
    <cellStyle name="20% - Accent4 3 6 4" xfId="10411" xr:uid="{51A28F3E-ECC3-4864-871B-964B4B558EE8}"/>
    <cellStyle name="20% - Accent4 3 7" xfId="2293" xr:uid="{00000000-0005-0000-0000-000057020000}"/>
    <cellStyle name="20% - Accent4 3 7 2" xfId="6600" xr:uid="{00000000-0005-0000-0000-000058020000}"/>
    <cellStyle name="20% - Accent4 3 7 2 2" xfId="15042" xr:uid="{D735B6B3-9CEC-4065-BE21-ED64C6133CA6}"/>
    <cellStyle name="20% - Accent4 3 7 3" xfId="10824" xr:uid="{B73C7DC4-9404-4B69-A936-E3C1EC18C6DB}"/>
    <cellStyle name="20% - Accent4 3 8" xfId="4534" xr:uid="{00000000-0005-0000-0000-000059020000}"/>
    <cellStyle name="20% - Accent4 3 8 2" xfId="12976" xr:uid="{6D0C1911-99C6-4CBC-BEF1-2417ADC3F538}"/>
    <cellStyle name="20% - Accent4 3 9" xfId="8758" xr:uid="{F001420E-0D82-4419-955E-A5577646A243}"/>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C98ACAB4-0695-4A22-B025-028909264EB2}"/>
    <cellStyle name="20% - Accent4 4 2 2 3" xfId="11319" xr:uid="{428AB050-A505-4035-A4F5-C0F577C5C1D9}"/>
    <cellStyle name="20% - Accent4 4 2 3" xfId="4950" xr:uid="{00000000-0005-0000-0000-00005E020000}"/>
    <cellStyle name="20% - Accent4 4 2 3 2" xfId="13392" xr:uid="{A672693E-FCC3-4A13-BF3C-17C9CD906D70}"/>
    <cellStyle name="20% - Accent4 4 2 4" xfId="9174" xr:uid="{6DC5C6E5-E435-4E88-8945-5B4E6B64C207}"/>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99F6BEE2-C5E5-4DE1-B631-FBA864BFD03B}"/>
    <cellStyle name="20% - Accent4 4 3 2 3" xfId="11732" xr:uid="{C82DD303-5FC0-4E60-8CC0-E2F9F12733DB}"/>
    <cellStyle name="20% - Accent4 4 3 3" xfId="5363" xr:uid="{00000000-0005-0000-0000-000062020000}"/>
    <cellStyle name="20% - Accent4 4 3 3 2" xfId="13805" xr:uid="{A0F92131-4A84-4D9D-8526-227C0345A364}"/>
    <cellStyle name="20% - Accent4 4 3 4" xfId="9587" xr:uid="{9B30DEAF-9BBF-404C-80FD-7EECEA7CA51F}"/>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A43D2A4F-FFA4-460B-8D87-CE7960021DFF}"/>
    <cellStyle name="20% - Accent4 4 4 2 3" xfId="12145" xr:uid="{9944CAFA-9513-4B77-87E7-ABA2682B9B8B}"/>
    <cellStyle name="20% - Accent4 4 4 3" xfId="5776" xr:uid="{00000000-0005-0000-0000-000066020000}"/>
    <cellStyle name="20% - Accent4 4 4 3 2" xfId="14218" xr:uid="{834EC140-C013-41A8-8031-E134093D2ECF}"/>
    <cellStyle name="20% - Accent4 4 4 4" xfId="10000" xr:uid="{55BAA93D-EFD9-4348-AC03-8177EC446ED5}"/>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AD924767-3671-48D1-BB18-6D4E850732AC}"/>
    <cellStyle name="20% - Accent4 4 5 2 3" xfId="12558" xr:uid="{7E8B2E60-A68D-405B-B4DA-B1F43AEBE279}"/>
    <cellStyle name="20% - Accent4 4 5 3" xfId="6189" xr:uid="{00000000-0005-0000-0000-00006A020000}"/>
    <cellStyle name="20% - Accent4 4 5 3 2" xfId="14631" xr:uid="{F7C048F8-FB86-4903-87E5-A4C4E8037CC3}"/>
    <cellStyle name="20% - Accent4 4 5 4" xfId="10413" xr:uid="{6A3B49A8-7111-4219-82FC-517981805935}"/>
    <cellStyle name="20% - Accent4 4 6" xfId="2295" xr:uid="{00000000-0005-0000-0000-00006B020000}"/>
    <cellStyle name="20% - Accent4 4 6 2" xfId="6602" xr:uid="{00000000-0005-0000-0000-00006C020000}"/>
    <cellStyle name="20% - Accent4 4 6 2 2" xfId="15044" xr:uid="{FE6BC7A6-019D-40FF-B88A-7F50C11FC9B6}"/>
    <cellStyle name="20% - Accent4 4 6 3" xfId="10826" xr:uid="{A1F73302-C3C1-4825-BC5E-BC65C260FDB6}"/>
    <cellStyle name="20% - Accent4 4 7" xfId="4536" xr:uid="{00000000-0005-0000-0000-00006D020000}"/>
    <cellStyle name="20% - Accent4 4 7 2" xfId="12978" xr:uid="{4F61D8BE-DEAD-45DF-972E-3D92A6A13068}"/>
    <cellStyle name="20% - Accent4 4 8" xfId="8760" xr:uid="{8F7D3D61-2F67-449B-B483-FAB50FB2052B}"/>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546ACD52-6833-496D-BF93-D57C4B9D75F8}"/>
    <cellStyle name="20% - Accent4 5 2 3" xfId="11312" xr:uid="{2571260D-C3EE-476D-B115-89B4B8BAA881}"/>
    <cellStyle name="20% - Accent4 5 3" xfId="4943" xr:uid="{00000000-0005-0000-0000-000071020000}"/>
    <cellStyle name="20% - Accent4 5 3 2" xfId="13385" xr:uid="{5A8B13B4-A3F3-40B5-936D-D7446A212551}"/>
    <cellStyle name="20% - Accent4 5 4" xfId="9167" xr:uid="{5600943B-C296-4BC1-87CF-2B54954F8716}"/>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B491201D-0CF5-4356-83FF-7526E0294A2D}"/>
    <cellStyle name="20% - Accent4 6 2 3" xfId="11725" xr:uid="{ED6CE6AE-8D2E-4E8A-A754-3C5CBDE5FD70}"/>
    <cellStyle name="20% - Accent4 6 3" xfId="5356" xr:uid="{00000000-0005-0000-0000-000075020000}"/>
    <cellStyle name="20% - Accent4 6 3 2" xfId="13798" xr:uid="{F6801F25-D2E4-4449-A857-708AC74F5A08}"/>
    <cellStyle name="20% - Accent4 6 4" xfId="9580" xr:uid="{1E4B085D-88BF-4B29-B268-CBE6A69E4482}"/>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1C8C0496-BC9D-4DBC-87CE-3B8A85438D46}"/>
    <cellStyle name="20% - Accent4 7 2 3" xfId="12138" xr:uid="{2F0B038B-AB1B-4DDC-902F-0346EBEEC51C}"/>
    <cellStyle name="20% - Accent4 7 3" xfId="5769" xr:uid="{00000000-0005-0000-0000-000079020000}"/>
    <cellStyle name="20% - Accent4 7 3 2" xfId="14211" xr:uid="{802ACD33-CAA9-4F1F-89C2-E3107C8DEDD7}"/>
    <cellStyle name="20% - Accent4 7 4" xfId="9993" xr:uid="{95E64F11-FC0D-43C4-82B8-07D6E60E363F}"/>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EF689A83-F622-42FB-A6AF-5B9406E67466}"/>
    <cellStyle name="20% - Accent4 8 2 3" xfId="12551" xr:uid="{32CEE3A4-18A1-4A6F-8082-2AB4DB7088C9}"/>
    <cellStyle name="20% - Accent4 8 3" xfId="6182" xr:uid="{00000000-0005-0000-0000-00007D020000}"/>
    <cellStyle name="20% - Accent4 8 3 2" xfId="14624" xr:uid="{1FECA23A-D1FF-4500-BBC2-C942599C174A}"/>
    <cellStyle name="20% - Accent4 8 4" xfId="10406" xr:uid="{C0396CA8-1E1E-4DCD-B3B5-9C5E36234BA6}"/>
    <cellStyle name="20% - Accent4 9" xfId="2288" xr:uid="{00000000-0005-0000-0000-00007E020000}"/>
    <cellStyle name="20% - Accent4 9 2" xfId="6595" xr:uid="{00000000-0005-0000-0000-00007F020000}"/>
    <cellStyle name="20% - Accent4 9 2 2" xfId="15037" xr:uid="{64DDD9A9-EF9A-4B52-A8FF-0FEEEDA0FEEE}"/>
    <cellStyle name="20% - Accent4 9 3" xfId="10819" xr:uid="{D7BF7694-D0F9-47F5-981E-EAABD1ED15DC}"/>
    <cellStyle name="20% - Accent5" xfId="33" builtinId="46" customBuiltin="1"/>
    <cellStyle name="20% - Accent5 10" xfId="4537" xr:uid="{00000000-0005-0000-0000-000081020000}"/>
    <cellStyle name="20% - Accent5 10 2" xfId="12979" xr:uid="{3CCAA4F5-0613-467C-A86B-9D74C4A42131}"/>
    <cellStyle name="20% - Accent5 11" xfId="8761" xr:uid="{AA3D2D95-4A4D-4444-871D-46AD7811CC8B}"/>
    <cellStyle name="20% - Accent5 2" xfId="34" xr:uid="{00000000-0005-0000-0000-000082020000}"/>
    <cellStyle name="20% - Accent5 2 10" xfId="8762" xr:uid="{4971118E-5654-4BFD-8A92-C954A41F69B6}"/>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8E9A33A9-6A93-4EEC-B8D7-5A842D73F179}"/>
    <cellStyle name="20% - Accent5 2 2 2 2 2 3" xfId="11323" xr:uid="{07C6EDD8-4AEB-42D4-81E6-DE3E1158A62C}"/>
    <cellStyle name="20% - Accent5 2 2 2 2 3" xfId="4954" xr:uid="{00000000-0005-0000-0000-000088020000}"/>
    <cellStyle name="20% - Accent5 2 2 2 2 3 2" xfId="13396" xr:uid="{79B3F9BD-DC62-4E45-A0B6-5662A1919673}"/>
    <cellStyle name="20% - Accent5 2 2 2 2 4" xfId="9178" xr:uid="{A83A9123-79A4-45EA-A994-30A47C1B56FA}"/>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7F99F1F8-BB4C-4FDC-B0E7-F58FC839C5B1}"/>
    <cellStyle name="20% - Accent5 2 2 2 3 2 3" xfId="11736" xr:uid="{680961DF-DCF7-4E00-B4C9-00EF87B06550}"/>
    <cellStyle name="20% - Accent5 2 2 2 3 3" xfId="5367" xr:uid="{00000000-0005-0000-0000-00008C020000}"/>
    <cellStyle name="20% - Accent5 2 2 2 3 3 2" xfId="13809" xr:uid="{7369C4CB-D119-4205-B50F-15CCB99F5A1B}"/>
    <cellStyle name="20% - Accent5 2 2 2 3 4" xfId="9591" xr:uid="{55794C6A-C708-4167-A36C-AAE31568FBE4}"/>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94158010-35F3-43DA-A56A-EACDD30C2BE4}"/>
    <cellStyle name="20% - Accent5 2 2 2 4 2 3" xfId="12149" xr:uid="{14497749-7EC5-4650-8BD0-3091622441F0}"/>
    <cellStyle name="20% - Accent5 2 2 2 4 3" xfId="5780" xr:uid="{00000000-0005-0000-0000-000090020000}"/>
    <cellStyle name="20% - Accent5 2 2 2 4 3 2" xfId="14222" xr:uid="{AD457673-D6FC-49DD-B82E-9630CCF7B127}"/>
    <cellStyle name="20% - Accent5 2 2 2 4 4" xfId="10004" xr:uid="{D3F21880-D0E4-4085-A0BC-AA24AD3094C9}"/>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C199A0D5-6017-4742-90A1-362EC2CA6A71}"/>
    <cellStyle name="20% - Accent5 2 2 2 5 2 3" xfId="12562" xr:uid="{82C820C8-F936-4A6F-9BCD-D1251F61EC91}"/>
    <cellStyle name="20% - Accent5 2 2 2 5 3" xfId="6193" xr:uid="{00000000-0005-0000-0000-000094020000}"/>
    <cellStyle name="20% - Accent5 2 2 2 5 3 2" xfId="14635" xr:uid="{3117B247-904D-4785-B95D-43CB60DECE1C}"/>
    <cellStyle name="20% - Accent5 2 2 2 5 4" xfId="10417" xr:uid="{4ADE303C-58E9-45D5-A7EE-F986DF7BB876}"/>
    <cellStyle name="20% - Accent5 2 2 2 6" xfId="2299" xr:uid="{00000000-0005-0000-0000-000095020000}"/>
    <cellStyle name="20% - Accent5 2 2 2 6 2" xfId="6606" xr:uid="{00000000-0005-0000-0000-000096020000}"/>
    <cellStyle name="20% - Accent5 2 2 2 6 2 2" xfId="15048" xr:uid="{AE3D3068-1385-4C04-9151-3C71ECC9B8DC}"/>
    <cellStyle name="20% - Accent5 2 2 2 6 3" xfId="10830" xr:uid="{364710AB-3A15-40B3-AFBB-E0F7A4D36328}"/>
    <cellStyle name="20% - Accent5 2 2 2 7" xfId="4540" xr:uid="{00000000-0005-0000-0000-000097020000}"/>
    <cellStyle name="20% - Accent5 2 2 2 7 2" xfId="12982" xr:uid="{3879C368-59DD-47C7-B08A-691E2B315DE9}"/>
    <cellStyle name="20% - Accent5 2 2 2 8" xfId="8764" xr:uid="{1BD90F3E-581F-4F93-B152-78002E7522EC}"/>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8E1DD6D9-FAED-46A5-921A-2B1D4BF4AD7B}"/>
    <cellStyle name="20% - Accent5 2 2 3 2 3" xfId="11322" xr:uid="{CE60258C-758C-4D7E-8B9B-74E23ADD4958}"/>
    <cellStyle name="20% - Accent5 2 2 3 3" xfId="4953" xr:uid="{00000000-0005-0000-0000-00009B020000}"/>
    <cellStyle name="20% - Accent5 2 2 3 3 2" xfId="13395" xr:uid="{CE64A413-4826-46D3-83E4-CF06D61200B9}"/>
    <cellStyle name="20% - Accent5 2 2 3 4" xfId="9177" xr:uid="{D8D7E08A-9D85-4446-9EC2-A13AE2D60505}"/>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4A4F251C-A04B-425A-BF54-0F4142CFF3B7}"/>
    <cellStyle name="20% - Accent5 2 2 4 2 3" xfId="11735" xr:uid="{5CA1D7A6-E9AE-47E0-9B3F-F0E21C9DD5EA}"/>
    <cellStyle name="20% - Accent5 2 2 4 3" xfId="5366" xr:uid="{00000000-0005-0000-0000-00009F020000}"/>
    <cellStyle name="20% - Accent5 2 2 4 3 2" xfId="13808" xr:uid="{42DAEA98-A2A5-4DE0-A1BE-0ECDCBA924C8}"/>
    <cellStyle name="20% - Accent5 2 2 4 4" xfId="9590" xr:uid="{932B9518-F1F2-42BE-AFD0-5517A8B6765C}"/>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66FCA5F4-7F4B-4291-9EEB-71747F7684C0}"/>
    <cellStyle name="20% - Accent5 2 2 5 2 3" xfId="12148" xr:uid="{46D9A06D-28CF-4636-8360-CA84C0F64489}"/>
    <cellStyle name="20% - Accent5 2 2 5 3" xfId="5779" xr:uid="{00000000-0005-0000-0000-0000A3020000}"/>
    <cellStyle name="20% - Accent5 2 2 5 3 2" xfId="14221" xr:uid="{139BAB6B-01EA-481A-A0DD-07571527E0C0}"/>
    <cellStyle name="20% - Accent5 2 2 5 4" xfId="10003" xr:uid="{728DA116-D440-4D01-A824-D0F158E0C430}"/>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C426BE45-C772-4BCC-9657-AE790C59ADB2}"/>
    <cellStyle name="20% - Accent5 2 2 6 2 3" xfId="12561" xr:uid="{80A3DF7A-28DB-412D-872D-A66A69206762}"/>
    <cellStyle name="20% - Accent5 2 2 6 3" xfId="6192" xr:uid="{00000000-0005-0000-0000-0000A7020000}"/>
    <cellStyle name="20% - Accent5 2 2 6 3 2" xfId="14634" xr:uid="{8E8527C3-42C0-474F-B867-EC723C8E5D60}"/>
    <cellStyle name="20% - Accent5 2 2 6 4" xfId="10416" xr:uid="{0046D520-F0DB-47FE-92BA-80C7995D5992}"/>
    <cellStyle name="20% - Accent5 2 2 7" xfId="2298" xr:uid="{00000000-0005-0000-0000-0000A8020000}"/>
    <cellStyle name="20% - Accent5 2 2 7 2" xfId="6605" xr:uid="{00000000-0005-0000-0000-0000A9020000}"/>
    <cellStyle name="20% - Accent5 2 2 7 2 2" xfId="15047" xr:uid="{95D3456A-6699-4F77-9A43-F97A6CF34E2F}"/>
    <cellStyle name="20% - Accent5 2 2 7 3" xfId="10829" xr:uid="{F5DA9CB3-1018-48FB-A9B3-2DE158B7AD3C}"/>
    <cellStyle name="20% - Accent5 2 2 8" xfId="4539" xr:uid="{00000000-0005-0000-0000-0000AA020000}"/>
    <cellStyle name="20% - Accent5 2 2 8 2" xfId="12981" xr:uid="{FDD8940D-1B5C-46C5-AB65-E14E3D112D83}"/>
    <cellStyle name="20% - Accent5 2 2 9" xfId="8763" xr:uid="{56CCE738-D9D7-45F6-A89A-63624E0C6C4F}"/>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F6B746C2-3AC2-4182-B14E-AE55D2351483}"/>
    <cellStyle name="20% - Accent5 2 3 2 2 3" xfId="11324" xr:uid="{B74DEAC4-3EFB-455C-9C76-86E387637B74}"/>
    <cellStyle name="20% - Accent5 2 3 2 3" xfId="4955" xr:uid="{00000000-0005-0000-0000-0000AF020000}"/>
    <cellStyle name="20% - Accent5 2 3 2 3 2" xfId="13397" xr:uid="{64D94D59-905E-4C5B-BFF9-CCC796FCA047}"/>
    <cellStyle name="20% - Accent5 2 3 2 4" xfId="9179" xr:uid="{FF44CAFC-B633-4BFE-8B86-89619257CA00}"/>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590F45ED-7029-4982-9235-7D2CC34F93DB}"/>
    <cellStyle name="20% - Accent5 2 3 3 2 3" xfId="11737" xr:uid="{659007D1-E0EB-400F-BC84-11FF5E3B9A5E}"/>
    <cellStyle name="20% - Accent5 2 3 3 3" xfId="5368" xr:uid="{00000000-0005-0000-0000-0000B3020000}"/>
    <cellStyle name="20% - Accent5 2 3 3 3 2" xfId="13810" xr:uid="{77025053-812C-41D2-9085-F59A40B99D70}"/>
    <cellStyle name="20% - Accent5 2 3 3 4" xfId="9592" xr:uid="{D203E658-9064-4797-A8DA-A2FF128D728A}"/>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1518BBFC-FAC5-41A5-840D-6E47ECB39F2E}"/>
    <cellStyle name="20% - Accent5 2 3 4 2 3" xfId="12150" xr:uid="{6A69F034-1DA7-4409-BE06-739C3684ED84}"/>
    <cellStyle name="20% - Accent5 2 3 4 3" xfId="5781" xr:uid="{00000000-0005-0000-0000-0000B7020000}"/>
    <cellStyle name="20% - Accent5 2 3 4 3 2" xfId="14223" xr:uid="{B38781D9-0156-434D-98DA-99A118D4F2E8}"/>
    <cellStyle name="20% - Accent5 2 3 4 4" xfId="10005" xr:uid="{314B5057-C373-43B3-B838-7B91F05C5A3F}"/>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A892BF5D-9F29-4701-9F50-35CE8AFF66DF}"/>
    <cellStyle name="20% - Accent5 2 3 5 2 3" xfId="12563" xr:uid="{2FB12906-4807-4BD8-8372-924438D3059D}"/>
    <cellStyle name="20% - Accent5 2 3 5 3" xfId="6194" xr:uid="{00000000-0005-0000-0000-0000BB020000}"/>
    <cellStyle name="20% - Accent5 2 3 5 3 2" xfId="14636" xr:uid="{90FE4019-8F69-4686-A75D-3065EEA6E5DB}"/>
    <cellStyle name="20% - Accent5 2 3 5 4" xfId="10418" xr:uid="{F457D6EC-5DD2-48C7-BB3D-B4935CEC68A2}"/>
    <cellStyle name="20% - Accent5 2 3 6" xfId="2300" xr:uid="{00000000-0005-0000-0000-0000BC020000}"/>
    <cellStyle name="20% - Accent5 2 3 6 2" xfId="6607" xr:uid="{00000000-0005-0000-0000-0000BD020000}"/>
    <cellStyle name="20% - Accent5 2 3 6 2 2" xfId="15049" xr:uid="{286AC682-9635-4C9E-B0B0-9F22AB433CDC}"/>
    <cellStyle name="20% - Accent5 2 3 6 3" xfId="10831" xr:uid="{39847D74-1984-4C60-9D08-07D81D5283B4}"/>
    <cellStyle name="20% - Accent5 2 3 7" xfId="4541" xr:uid="{00000000-0005-0000-0000-0000BE020000}"/>
    <cellStyle name="20% - Accent5 2 3 7 2" xfId="12983" xr:uid="{E0573452-36CB-4302-8107-2FE31802B5FB}"/>
    <cellStyle name="20% - Accent5 2 3 8" xfId="8765" xr:uid="{3163E9D3-971B-4663-97C6-D135867D66E8}"/>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42CEA942-2952-4F68-9117-381CE0F2D138}"/>
    <cellStyle name="20% - Accent5 2 4 2 3" xfId="11321" xr:uid="{3145947E-8D27-4E11-BA4C-9C97D0C4B089}"/>
    <cellStyle name="20% - Accent5 2 4 3" xfId="4952" xr:uid="{00000000-0005-0000-0000-0000C2020000}"/>
    <cellStyle name="20% - Accent5 2 4 3 2" xfId="13394" xr:uid="{A6893D59-F973-4463-89A9-1915FE35A313}"/>
    <cellStyle name="20% - Accent5 2 4 4" xfId="9176" xr:uid="{84F3BF1F-E837-4272-9058-79BF0E1CF7C7}"/>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A4DDEA7F-1331-4FF1-93FF-6840DB6C97AF}"/>
    <cellStyle name="20% - Accent5 2 5 2 3" xfId="11734" xr:uid="{6B573275-BDC3-40A5-BCC3-58926139909A}"/>
    <cellStyle name="20% - Accent5 2 5 3" xfId="5365" xr:uid="{00000000-0005-0000-0000-0000C6020000}"/>
    <cellStyle name="20% - Accent5 2 5 3 2" xfId="13807" xr:uid="{D62F5C5D-D697-46EC-9EF0-DB1CE76C8A32}"/>
    <cellStyle name="20% - Accent5 2 5 4" xfId="9589" xr:uid="{D09658D3-40BC-4766-9402-1B66EDCACB10}"/>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EB3A56D4-74BA-4D8E-84BB-203182BCDA4E}"/>
    <cellStyle name="20% - Accent5 2 6 2 3" xfId="12147" xr:uid="{83937C22-F2E6-42E9-A048-DB7B640AFDC1}"/>
    <cellStyle name="20% - Accent5 2 6 3" xfId="5778" xr:uid="{00000000-0005-0000-0000-0000CA020000}"/>
    <cellStyle name="20% - Accent5 2 6 3 2" xfId="14220" xr:uid="{0C9A21CD-7AAB-4394-9A74-644E2B288C10}"/>
    <cellStyle name="20% - Accent5 2 6 4" xfId="10002" xr:uid="{A26F7CF9-BE7F-4751-8742-BE396E74F3A6}"/>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8FAE91EF-0A57-4992-85A4-C7CCC6D666BB}"/>
    <cellStyle name="20% - Accent5 2 7 2 3" xfId="12560" xr:uid="{3C7874F0-35EE-4E81-BD6E-C987FBAB951E}"/>
    <cellStyle name="20% - Accent5 2 7 3" xfId="6191" xr:uid="{00000000-0005-0000-0000-0000CE020000}"/>
    <cellStyle name="20% - Accent5 2 7 3 2" xfId="14633" xr:uid="{764D7D62-37FF-4504-8096-AFE22B0F30A6}"/>
    <cellStyle name="20% - Accent5 2 7 4" xfId="10415" xr:uid="{03E79364-B70F-484A-8745-28F6B68939DA}"/>
    <cellStyle name="20% - Accent5 2 8" xfId="2297" xr:uid="{00000000-0005-0000-0000-0000CF020000}"/>
    <cellStyle name="20% - Accent5 2 8 2" xfId="6604" xr:uid="{00000000-0005-0000-0000-0000D0020000}"/>
    <cellStyle name="20% - Accent5 2 8 2 2" xfId="15046" xr:uid="{5AAEBB0A-5220-48F6-B25B-012E79587007}"/>
    <cellStyle name="20% - Accent5 2 8 3" xfId="10828" xr:uid="{9B3A8601-DCD4-4E71-A03D-825DFB097276}"/>
    <cellStyle name="20% - Accent5 2 9" xfId="4538" xr:uid="{00000000-0005-0000-0000-0000D1020000}"/>
    <cellStyle name="20% - Accent5 2 9 2" xfId="12980" xr:uid="{7A83C006-C133-44FB-88D3-3496DBF0A7D4}"/>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CE43AC25-956D-4B18-9501-FC377F1400D0}"/>
    <cellStyle name="20% - Accent5 3 2 2 2 3" xfId="11326" xr:uid="{4ED3B571-056D-41C2-8F8D-F3B7A921DF0E}"/>
    <cellStyle name="20% - Accent5 3 2 2 3" xfId="4957" xr:uid="{00000000-0005-0000-0000-0000D7020000}"/>
    <cellStyle name="20% - Accent5 3 2 2 3 2" xfId="13399" xr:uid="{0A7E86E0-DE9E-428F-9D4D-290358E3941E}"/>
    <cellStyle name="20% - Accent5 3 2 2 4" xfId="9181" xr:uid="{2FB002DA-809B-4675-B894-6982F9C135CD}"/>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619F8CA6-F10E-4CE9-833C-2722F75BBD9C}"/>
    <cellStyle name="20% - Accent5 3 2 3 2 3" xfId="11739" xr:uid="{83C2327C-6676-4E30-95A7-2D026D0756F9}"/>
    <cellStyle name="20% - Accent5 3 2 3 3" xfId="5370" xr:uid="{00000000-0005-0000-0000-0000DB020000}"/>
    <cellStyle name="20% - Accent5 3 2 3 3 2" xfId="13812" xr:uid="{2B9DA1CE-B211-4DA7-AFAA-395B6541782E}"/>
    <cellStyle name="20% - Accent5 3 2 3 4" xfId="9594" xr:uid="{F7D3743A-1094-44FC-B6FB-3B283C9AFEBE}"/>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D8728E4B-A55E-4D5E-8927-25143FADCB88}"/>
    <cellStyle name="20% - Accent5 3 2 4 2 3" xfId="12152" xr:uid="{D1FF6D66-EEFD-491B-879E-8DC6D19CA1CC}"/>
    <cellStyle name="20% - Accent5 3 2 4 3" xfId="5783" xr:uid="{00000000-0005-0000-0000-0000DF020000}"/>
    <cellStyle name="20% - Accent5 3 2 4 3 2" xfId="14225" xr:uid="{1615E482-8D1B-4527-A2CF-3DFBD3A58E73}"/>
    <cellStyle name="20% - Accent5 3 2 4 4" xfId="10007" xr:uid="{9CB14B2F-42F0-4EE6-8DEF-C44FF6267575}"/>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F623B0CE-021F-45DD-9EA1-9B090D1FD979}"/>
    <cellStyle name="20% - Accent5 3 2 5 2 3" xfId="12565" xr:uid="{3098B3AA-CE41-448B-9525-4BB4B8E9A886}"/>
    <cellStyle name="20% - Accent5 3 2 5 3" xfId="6196" xr:uid="{00000000-0005-0000-0000-0000E3020000}"/>
    <cellStyle name="20% - Accent5 3 2 5 3 2" xfId="14638" xr:uid="{F32A7C73-1C40-4347-9833-67699CE15459}"/>
    <cellStyle name="20% - Accent5 3 2 5 4" xfId="10420" xr:uid="{0630E072-96A0-498E-AA1F-EA85DF993C9D}"/>
    <cellStyle name="20% - Accent5 3 2 6" xfId="2302" xr:uid="{00000000-0005-0000-0000-0000E4020000}"/>
    <cellStyle name="20% - Accent5 3 2 6 2" xfId="6609" xr:uid="{00000000-0005-0000-0000-0000E5020000}"/>
    <cellStyle name="20% - Accent5 3 2 6 2 2" xfId="15051" xr:uid="{6B54C9C6-A28E-44FE-9FEA-E49AB22E436B}"/>
    <cellStyle name="20% - Accent5 3 2 6 3" xfId="10833" xr:uid="{32CA13C6-92A8-4066-8CDF-287634D6AF13}"/>
    <cellStyle name="20% - Accent5 3 2 7" xfId="4543" xr:uid="{00000000-0005-0000-0000-0000E6020000}"/>
    <cellStyle name="20% - Accent5 3 2 7 2" xfId="12985" xr:uid="{49628C3A-B512-4268-B622-B6244DD34244}"/>
    <cellStyle name="20% - Accent5 3 2 8" xfId="8767" xr:uid="{CCA7E466-ABF4-4126-9F43-B419C59EEE27}"/>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D88E1A6B-631E-4E35-9098-FCDCDE319CD6}"/>
    <cellStyle name="20% - Accent5 3 3 2 3" xfId="11325" xr:uid="{D65C3931-3BE2-4CC2-8684-63089D427FA4}"/>
    <cellStyle name="20% - Accent5 3 3 3" xfId="4956" xr:uid="{00000000-0005-0000-0000-0000EA020000}"/>
    <cellStyle name="20% - Accent5 3 3 3 2" xfId="13398" xr:uid="{312813A2-A2C3-43DD-B982-A8182A3C4D1A}"/>
    <cellStyle name="20% - Accent5 3 3 4" xfId="9180" xr:uid="{DD5DCE00-A5A3-4630-AD9C-883C91969AB0}"/>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93DFB2C9-D8B3-46C7-B1B9-C234306D386E}"/>
    <cellStyle name="20% - Accent5 3 4 2 3" xfId="11738" xr:uid="{1DA964F7-3CD9-4260-B72A-9E7A8FD05130}"/>
    <cellStyle name="20% - Accent5 3 4 3" xfId="5369" xr:uid="{00000000-0005-0000-0000-0000EE020000}"/>
    <cellStyle name="20% - Accent5 3 4 3 2" xfId="13811" xr:uid="{E9038B92-D08E-44B6-A0B7-3F456D253AA5}"/>
    <cellStyle name="20% - Accent5 3 4 4" xfId="9593" xr:uid="{496584C3-2BA2-41FC-A55C-2F62736BB013}"/>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292B2158-1534-4776-B377-55BDC9B14D91}"/>
    <cellStyle name="20% - Accent5 3 5 2 3" xfId="12151" xr:uid="{6A0E2E86-A447-4BCE-9DDC-69220DBBB879}"/>
    <cellStyle name="20% - Accent5 3 5 3" xfId="5782" xr:uid="{00000000-0005-0000-0000-0000F2020000}"/>
    <cellStyle name="20% - Accent5 3 5 3 2" xfId="14224" xr:uid="{468ED5A4-90D5-4919-B75B-7F3C0B5C74A5}"/>
    <cellStyle name="20% - Accent5 3 5 4" xfId="10006" xr:uid="{5F87DC5F-7880-406A-A4AE-8A8E8CDD28A1}"/>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ABE3B07F-AA75-47B3-A27B-4AA1CDF02F54}"/>
    <cellStyle name="20% - Accent5 3 6 2 3" xfId="12564" xr:uid="{2D9DC3C6-1F55-4729-8636-34F8B8B1B739}"/>
    <cellStyle name="20% - Accent5 3 6 3" xfId="6195" xr:uid="{00000000-0005-0000-0000-0000F6020000}"/>
    <cellStyle name="20% - Accent5 3 6 3 2" xfId="14637" xr:uid="{AA622F5D-ED78-446B-A9A2-0071E500168C}"/>
    <cellStyle name="20% - Accent5 3 6 4" xfId="10419" xr:uid="{90A590C2-734F-4DD6-B311-85ACFB28CF2F}"/>
    <cellStyle name="20% - Accent5 3 7" xfId="2301" xr:uid="{00000000-0005-0000-0000-0000F7020000}"/>
    <cellStyle name="20% - Accent5 3 7 2" xfId="6608" xr:uid="{00000000-0005-0000-0000-0000F8020000}"/>
    <cellStyle name="20% - Accent5 3 7 2 2" xfId="15050" xr:uid="{A90B48F3-2EAB-43AE-82E9-7C62763D4034}"/>
    <cellStyle name="20% - Accent5 3 7 3" xfId="10832" xr:uid="{A6576F28-B015-4973-AE7E-BD112FF5906C}"/>
    <cellStyle name="20% - Accent5 3 8" xfId="4542" xr:uid="{00000000-0005-0000-0000-0000F9020000}"/>
    <cellStyle name="20% - Accent5 3 8 2" xfId="12984" xr:uid="{B0246E81-9ADA-477E-B05E-234FA9494F6E}"/>
    <cellStyle name="20% - Accent5 3 9" xfId="8766" xr:uid="{EF699B01-CF16-4582-9BF8-FEEF7CCD2CF7}"/>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B616F868-BBF5-46DB-B450-0C607A452BAE}"/>
    <cellStyle name="20% - Accent5 4 2 2 3" xfId="11327" xr:uid="{68E5E1D0-92DD-4C31-BA34-C8D7EE4CB921}"/>
    <cellStyle name="20% - Accent5 4 2 3" xfId="4958" xr:uid="{00000000-0005-0000-0000-0000FE020000}"/>
    <cellStyle name="20% - Accent5 4 2 3 2" xfId="13400" xr:uid="{B2BAC17D-1E8B-4ABB-BBAA-F6F5D989133C}"/>
    <cellStyle name="20% - Accent5 4 2 4" xfId="9182" xr:uid="{97339F51-27C8-4D96-B475-86CF0125C53F}"/>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610A9EFF-0D53-4178-BFAE-E2C87D502A9F}"/>
    <cellStyle name="20% - Accent5 4 3 2 3" xfId="11740" xr:uid="{75AF031B-D55E-4252-A948-D4DCDDFA5C5E}"/>
    <cellStyle name="20% - Accent5 4 3 3" xfId="5371" xr:uid="{00000000-0005-0000-0000-000002030000}"/>
    <cellStyle name="20% - Accent5 4 3 3 2" xfId="13813" xr:uid="{10B7DA66-EB0C-4B73-A38C-32E27367335D}"/>
    <cellStyle name="20% - Accent5 4 3 4" xfId="9595" xr:uid="{6E99D97B-5DDA-4429-8AC8-22EBAF1787A0}"/>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EC16AB93-BA74-4BE3-A3CA-46199335B840}"/>
    <cellStyle name="20% - Accent5 4 4 2 3" xfId="12153" xr:uid="{9F863BD4-47AA-4EEB-9C11-9399A21FD1CE}"/>
    <cellStyle name="20% - Accent5 4 4 3" xfId="5784" xr:uid="{00000000-0005-0000-0000-000006030000}"/>
    <cellStyle name="20% - Accent5 4 4 3 2" xfId="14226" xr:uid="{F4742461-7582-49FC-A51F-6CAC0F4305AE}"/>
    <cellStyle name="20% - Accent5 4 4 4" xfId="10008" xr:uid="{AEF5BC37-0F11-409E-A995-9CDC51052F58}"/>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E87B2219-F97B-4503-9593-505393D6D277}"/>
    <cellStyle name="20% - Accent5 4 5 2 3" xfId="12566" xr:uid="{25F17467-F18F-46D0-883D-0A9EC3AE76C1}"/>
    <cellStyle name="20% - Accent5 4 5 3" xfId="6197" xr:uid="{00000000-0005-0000-0000-00000A030000}"/>
    <cellStyle name="20% - Accent5 4 5 3 2" xfId="14639" xr:uid="{67BA29AE-B37E-4BEA-8219-ADCF62DB2A18}"/>
    <cellStyle name="20% - Accent5 4 5 4" xfId="10421" xr:uid="{19F0BC07-B40A-4AEC-93D9-4C1282F19CEC}"/>
    <cellStyle name="20% - Accent5 4 6" xfId="2303" xr:uid="{00000000-0005-0000-0000-00000B030000}"/>
    <cellStyle name="20% - Accent5 4 6 2" xfId="6610" xr:uid="{00000000-0005-0000-0000-00000C030000}"/>
    <cellStyle name="20% - Accent5 4 6 2 2" xfId="15052" xr:uid="{13720021-11CC-4F26-9295-6BF0AEC99004}"/>
    <cellStyle name="20% - Accent5 4 6 3" xfId="10834" xr:uid="{747F32FC-80AC-465E-B7F5-D2392DEEFE73}"/>
    <cellStyle name="20% - Accent5 4 7" xfId="4544" xr:uid="{00000000-0005-0000-0000-00000D030000}"/>
    <cellStyle name="20% - Accent5 4 7 2" xfId="12986" xr:uid="{924F9281-E298-47E3-80AA-7D1B39131B58}"/>
    <cellStyle name="20% - Accent5 4 8" xfId="8768" xr:uid="{217721A8-76C2-470C-B897-A51979E9B75F}"/>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D9164AAA-C627-402C-9D0B-13A4D83AFC48}"/>
    <cellStyle name="20% - Accent5 5 2 3" xfId="11320" xr:uid="{4F324202-A5AE-4DA5-A90D-D4729825D7C4}"/>
    <cellStyle name="20% - Accent5 5 3" xfId="4951" xr:uid="{00000000-0005-0000-0000-000011030000}"/>
    <cellStyle name="20% - Accent5 5 3 2" xfId="13393" xr:uid="{AF478C41-7CC5-49AD-B012-3ED681EB1419}"/>
    <cellStyle name="20% - Accent5 5 4" xfId="9175" xr:uid="{C9852C22-EB0E-470F-9958-D3463769D38E}"/>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78CF6129-E760-4729-8315-0CB0CC5BEAA5}"/>
    <cellStyle name="20% - Accent5 6 2 3" xfId="11733" xr:uid="{8FC1D9E9-0095-404E-809E-D58303DF0E15}"/>
    <cellStyle name="20% - Accent5 6 3" xfId="5364" xr:uid="{00000000-0005-0000-0000-000015030000}"/>
    <cellStyle name="20% - Accent5 6 3 2" xfId="13806" xr:uid="{A420885B-39CE-4FFC-8DD0-DB6621D79CFE}"/>
    <cellStyle name="20% - Accent5 6 4" xfId="9588" xr:uid="{BFB674E8-85CB-4A7B-BF6F-37719BFA9BF4}"/>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C98E6903-1797-437A-8211-09F76D0C335D}"/>
    <cellStyle name="20% - Accent5 7 2 3" xfId="12146" xr:uid="{B507B436-AA57-4DB6-B131-79CF3AC054E5}"/>
    <cellStyle name="20% - Accent5 7 3" xfId="5777" xr:uid="{00000000-0005-0000-0000-000019030000}"/>
    <cellStyle name="20% - Accent5 7 3 2" xfId="14219" xr:uid="{FD74A8F9-205F-4881-9950-DD46D8EB3558}"/>
    <cellStyle name="20% - Accent5 7 4" xfId="10001" xr:uid="{6DC398CB-AF41-4ED4-8351-8079DAACEE81}"/>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9959B4C5-D6E3-40EA-B3DA-91ADAEE19AD2}"/>
    <cellStyle name="20% - Accent5 8 2 3" xfId="12559" xr:uid="{313361BA-EAD8-4A57-87A5-1E1071987CF7}"/>
    <cellStyle name="20% - Accent5 8 3" xfId="6190" xr:uid="{00000000-0005-0000-0000-00001D030000}"/>
    <cellStyle name="20% - Accent5 8 3 2" xfId="14632" xr:uid="{F6A3D025-3874-4892-934A-F8F17E500E72}"/>
    <cellStyle name="20% - Accent5 8 4" xfId="10414" xr:uid="{765B76ED-EAD6-4252-A0FB-E6C94B24B638}"/>
    <cellStyle name="20% - Accent5 9" xfId="2296" xr:uid="{00000000-0005-0000-0000-00001E030000}"/>
    <cellStyle name="20% - Accent5 9 2" xfId="6603" xr:uid="{00000000-0005-0000-0000-00001F030000}"/>
    <cellStyle name="20% - Accent5 9 2 2" xfId="15045" xr:uid="{A924A3BE-96F1-41EB-95AD-BDA43024C04C}"/>
    <cellStyle name="20% - Accent5 9 3" xfId="10827" xr:uid="{D889597E-987B-4D79-93F4-99D79C923330}"/>
    <cellStyle name="20% - Accent6" xfId="41" builtinId="50" customBuiltin="1"/>
    <cellStyle name="20% - Accent6 10" xfId="4545" xr:uid="{00000000-0005-0000-0000-000021030000}"/>
    <cellStyle name="20% - Accent6 10 2" xfId="12987" xr:uid="{54112B2C-A430-4FDD-9AC3-FDE701BA2F18}"/>
    <cellStyle name="20% - Accent6 11" xfId="8769" xr:uid="{65FB329A-F33A-4FC7-AB08-6141A9D61F8C}"/>
    <cellStyle name="20% - Accent6 2" xfId="42" xr:uid="{00000000-0005-0000-0000-000022030000}"/>
    <cellStyle name="20% - Accent6 2 10" xfId="8770" xr:uid="{F0BC1ACF-1C4A-4698-95BA-34E32DA2A21F}"/>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A5C23379-471A-4D99-AA97-FA959EAF60AB}"/>
    <cellStyle name="20% - Accent6 2 2 2 2 2 3" xfId="11331" xr:uid="{E2254CC6-FC90-4D98-A936-7D7CCC4B9148}"/>
    <cellStyle name="20% - Accent6 2 2 2 2 3" xfId="4962" xr:uid="{00000000-0005-0000-0000-000028030000}"/>
    <cellStyle name="20% - Accent6 2 2 2 2 3 2" xfId="13404" xr:uid="{B3C39528-84B9-428E-AB10-C12F92839D20}"/>
    <cellStyle name="20% - Accent6 2 2 2 2 4" xfId="9186" xr:uid="{70C34F81-2976-4B14-82B4-826B3F5D161F}"/>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A91A41F0-82D5-4161-B92C-F9A84CF5FA4B}"/>
    <cellStyle name="20% - Accent6 2 2 2 3 2 3" xfId="11744" xr:uid="{6178C21F-CC71-4227-B998-1F54DB2AB6A9}"/>
    <cellStyle name="20% - Accent6 2 2 2 3 3" xfId="5375" xr:uid="{00000000-0005-0000-0000-00002C030000}"/>
    <cellStyle name="20% - Accent6 2 2 2 3 3 2" xfId="13817" xr:uid="{5EB18E31-09F6-4880-9E1E-89DEAF2DA297}"/>
    <cellStyle name="20% - Accent6 2 2 2 3 4" xfId="9599" xr:uid="{62CB27DA-D66A-4CA9-A18C-FA055C64A34D}"/>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36B31001-4C22-4806-83C6-6DF69F048EC0}"/>
    <cellStyle name="20% - Accent6 2 2 2 4 2 3" xfId="12157" xr:uid="{7AFB6986-9C7C-4E9C-9785-0EA4F409DECC}"/>
    <cellStyle name="20% - Accent6 2 2 2 4 3" xfId="5788" xr:uid="{00000000-0005-0000-0000-000030030000}"/>
    <cellStyle name="20% - Accent6 2 2 2 4 3 2" xfId="14230" xr:uid="{FA7479AB-AE31-4DBF-9E12-F834E0001E14}"/>
    <cellStyle name="20% - Accent6 2 2 2 4 4" xfId="10012" xr:uid="{23F272EB-EC41-44D8-B64D-E7655445E1D2}"/>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63273841-48DD-4FE0-8FBD-2537CED92826}"/>
    <cellStyle name="20% - Accent6 2 2 2 5 2 3" xfId="12570" xr:uid="{09AFC6E4-74BF-4805-BD10-D7842FBC668D}"/>
    <cellStyle name="20% - Accent6 2 2 2 5 3" xfId="6201" xr:uid="{00000000-0005-0000-0000-000034030000}"/>
    <cellStyle name="20% - Accent6 2 2 2 5 3 2" xfId="14643" xr:uid="{00E96CB5-AC84-4757-ADAC-809C5392318E}"/>
    <cellStyle name="20% - Accent6 2 2 2 5 4" xfId="10425" xr:uid="{4B14CC35-7444-4978-9533-6D4244B1BB39}"/>
    <cellStyle name="20% - Accent6 2 2 2 6" xfId="2307" xr:uid="{00000000-0005-0000-0000-000035030000}"/>
    <cellStyle name="20% - Accent6 2 2 2 6 2" xfId="6614" xr:uid="{00000000-0005-0000-0000-000036030000}"/>
    <cellStyle name="20% - Accent6 2 2 2 6 2 2" xfId="15056" xr:uid="{544450EE-461C-4427-837A-B435B59ED800}"/>
    <cellStyle name="20% - Accent6 2 2 2 6 3" xfId="10838" xr:uid="{4F7AADCA-432D-4239-B20B-F31AAE0CB334}"/>
    <cellStyle name="20% - Accent6 2 2 2 7" xfId="4548" xr:uid="{00000000-0005-0000-0000-000037030000}"/>
    <cellStyle name="20% - Accent6 2 2 2 7 2" xfId="12990" xr:uid="{473E190C-5FF6-4791-A338-449B1A6671C0}"/>
    <cellStyle name="20% - Accent6 2 2 2 8" xfId="8772" xr:uid="{4A3B343C-8465-42E9-B786-1E16351AF7B4}"/>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A30356A4-8574-40E8-AB59-6C2F78199B55}"/>
    <cellStyle name="20% - Accent6 2 2 3 2 3" xfId="11330" xr:uid="{BCAD7D5E-9BC0-49BA-91C1-3A158D195C26}"/>
    <cellStyle name="20% - Accent6 2 2 3 3" xfId="4961" xr:uid="{00000000-0005-0000-0000-00003B030000}"/>
    <cellStyle name="20% - Accent6 2 2 3 3 2" xfId="13403" xr:uid="{E4091484-769F-4ACB-90AC-0D18CF6CA439}"/>
    <cellStyle name="20% - Accent6 2 2 3 4" xfId="9185" xr:uid="{06031BC4-1DB5-4E0E-A1F2-C7EB5F3C958D}"/>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18F7FBA0-BA4E-4197-9891-456835BB1CDD}"/>
    <cellStyle name="20% - Accent6 2 2 4 2 3" xfId="11743" xr:uid="{BE98B520-5357-45A2-AE3B-32C63E8A4121}"/>
    <cellStyle name="20% - Accent6 2 2 4 3" xfId="5374" xr:uid="{00000000-0005-0000-0000-00003F030000}"/>
    <cellStyle name="20% - Accent6 2 2 4 3 2" xfId="13816" xr:uid="{D832CAC6-9BE6-4FD9-A3DA-7C44DDDC274F}"/>
    <cellStyle name="20% - Accent6 2 2 4 4" xfId="9598" xr:uid="{D20AC8B3-A8CC-4689-A62E-BC7A80DE3CBB}"/>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CCCEEFDD-AC8C-4409-98C5-F063E5CB25C8}"/>
    <cellStyle name="20% - Accent6 2 2 5 2 3" xfId="12156" xr:uid="{1FCAB1E0-D7E6-48A9-9673-9DA126965558}"/>
    <cellStyle name="20% - Accent6 2 2 5 3" xfId="5787" xr:uid="{00000000-0005-0000-0000-000043030000}"/>
    <cellStyle name="20% - Accent6 2 2 5 3 2" xfId="14229" xr:uid="{646BDE07-D09A-4E9E-B939-ECC645784A01}"/>
    <cellStyle name="20% - Accent6 2 2 5 4" xfId="10011" xr:uid="{285F331A-B7D0-49C8-810B-C047AA383947}"/>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E26FF6BC-2A69-429A-9AD3-0B07ABE9D68E}"/>
    <cellStyle name="20% - Accent6 2 2 6 2 3" xfId="12569" xr:uid="{FE33A934-52A7-497B-8AA6-E7B70CCDE9C3}"/>
    <cellStyle name="20% - Accent6 2 2 6 3" xfId="6200" xr:uid="{00000000-0005-0000-0000-000047030000}"/>
    <cellStyle name="20% - Accent6 2 2 6 3 2" xfId="14642" xr:uid="{A9034807-6C60-4BF9-B58F-3FD79AD7F3A7}"/>
    <cellStyle name="20% - Accent6 2 2 6 4" xfId="10424" xr:uid="{2F221A7D-0D47-4BA5-9303-8BD679E848D7}"/>
    <cellStyle name="20% - Accent6 2 2 7" xfId="2306" xr:uid="{00000000-0005-0000-0000-000048030000}"/>
    <cellStyle name="20% - Accent6 2 2 7 2" xfId="6613" xr:uid="{00000000-0005-0000-0000-000049030000}"/>
    <cellStyle name="20% - Accent6 2 2 7 2 2" xfId="15055" xr:uid="{026904AD-E99E-43D5-B6D2-16EE2E59DE73}"/>
    <cellStyle name="20% - Accent6 2 2 7 3" xfId="10837" xr:uid="{79E284F8-0C97-42CB-AA96-FD9F6CC660C6}"/>
    <cellStyle name="20% - Accent6 2 2 8" xfId="4547" xr:uid="{00000000-0005-0000-0000-00004A030000}"/>
    <cellStyle name="20% - Accent6 2 2 8 2" xfId="12989" xr:uid="{5F0B8442-266E-4D4E-A89C-04ED5F62070B}"/>
    <cellStyle name="20% - Accent6 2 2 9" xfId="8771" xr:uid="{ABB252B8-7B51-460C-8B4A-706C3649AC53}"/>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51F9C6EF-FD28-4ECA-AED4-53371D34E2FC}"/>
    <cellStyle name="20% - Accent6 2 3 2 2 3" xfId="11332" xr:uid="{0C17218C-DF0E-454F-A29C-5B6512C9DF08}"/>
    <cellStyle name="20% - Accent6 2 3 2 3" xfId="4963" xr:uid="{00000000-0005-0000-0000-00004F030000}"/>
    <cellStyle name="20% - Accent6 2 3 2 3 2" xfId="13405" xr:uid="{A640986A-E505-4D63-98A8-A7A9BACDBD06}"/>
    <cellStyle name="20% - Accent6 2 3 2 4" xfId="9187" xr:uid="{EF167436-F58D-4D82-8801-0F53239D36C5}"/>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E475DD28-72D3-4B6C-B45D-6A4F684A8783}"/>
    <cellStyle name="20% - Accent6 2 3 3 2 3" xfId="11745" xr:uid="{C9E84ABB-3A1C-4FAA-BB00-E144F5673000}"/>
    <cellStyle name="20% - Accent6 2 3 3 3" xfId="5376" xr:uid="{00000000-0005-0000-0000-000053030000}"/>
    <cellStyle name="20% - Accent6 2 3 3 3 2" xfId="13818" xr:uid="{2598F6BF-5452-4F7E-893B-EE2DDE56A7A2}"/>
    <cellStyle name="20% - Accent6 2 3 3 4" xfId="9600" xr:uid="{67E53D11-696B-4D60-ABA2-382358C34F72}"/>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539013E0-2354-4E7E-96C0-6BD2B3BFF445}"/>
    <cellStyle name="20% - Accent6 2 3 4 2 3" xfId="12158" xr:uid="{AA3C6E0A-A98D-4118-811A-270BBAE920C4}"/>
    <cellStyle name="20% - Accent6 2 3 4 3" xfId="5789" xr:uid="{00000000-0005-0000-0000-000057030000}"/>
    <cellStyle name="20% - Accent6 2 3 4 3 2" xfId="14231" xr:uid="{5E6D16A9-351F-418B-8AFE-94FC5A9B41C5}"/>
    <cellStyle name="20% - Accent6 2 3 4 4" xfId="10013" xr:uid="{E2FD5821-1F2C-436C-A731-5995BE5765F2}"/>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4A4E6A7F-B71E-433F-A0D0-E82B92FB7613}"/>
    <cellStyle name="20% - Accent6 2 3 5 2 3" xfId="12571" xr:uid="{7B501A92-D15B-41A3-AC1C-6A98990E11E8}"/>
    <cellStyle name="20% - Accent6 2 3 5 3" xfId="6202" xr:uid="{00000000-0005-0000-0000-00005B030000}"/>
    <cellStyle name="20% - Accent6 2 3 5 3 2" xfId="14644" xr:uid="{F58689E9-84C8-4174-8AB0-B5E6C92A1483}"/>
    <cellStyle name="20% - Accent6 2 3 5 4" xfId="10426" xr:uid="{9EBE9190-F9A4-44F5-BF88-DE5B9FE59DD0}"/>
    <cellStyle name="20% - Accent6 2 3 6" xfId="2308" xr:uid="{00000000-0005-0000-0000-00005C030000}"/>
    <cellStyle name="20% - Accent6 2 3 6 2" xfId="6615" xr:uid="{00000000-0005-0000-0000-00005D030000}"/>
    <cellStyle name="20% - Accent6 2 3 6 2 2" xfId="15057" xr:uid="{14DB0BD5-4D61-4EDB-9EA1-9E62320AD8FB}"/>
    <cellStyle name="20% - Accent6 2 3 6 3" xfId="10839" xr:uid="{7AFEF73D-1317-4C84-BEA6-2298E310ADEF}"/>
    <cellStyle name="20% - Accent6 2 3 7" xfId="4549" xr:uid="{00000000-0005-0000-0000-00005E030000}"/>
    <cellStyle name="20% - Accent6 2 3 7 2" xfId="12991" xr:uid="{10A785D6-8880-4CC2-B954-20FCC579A2F5}"/>
    <cellStyle name="20% - Accent6 2 3 8" xfId="8773" xr:uid="{A5D84DE8-929F-41DC-974A-ED82B1BFD567}"/>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64F3A4A7-E9C2-4CE0-B0D4-EA23BC91CF41}"/>
    <cellStyle name="20% - Accent6 2 4 2 3" xfId="11329" xr:uid="{8578494B-4F8C-4687-ACB4-16C8689B0DBD}"/>
    <cellStyle name="20% - Accent6 2 4 3" xfId="4960" xr:uid="{00000000-0005-0000-0000-000062030000}"/>
    <cellStyle name="20% - Accent6 2 4 3 2" xfId="13402" xr:uid="{12D3E3F8-E4A1-4768-BA2F-8BB5E750FABE}"/>
    <cellStyle name="20% - Accent6 2 4 4" xfId="9184" xr:uid="{CE6AFC00-E728-4DFC-B39C-D7FEE7242D3F}"/>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161FC730-B16A-48AC-B1D5-75893A285C18}"/>
    <cellStyle name="20% - Accent6 2 5 2 3" xfId="11742" xr:uid="{40FD28E3-1569-43B2-9D14-6A43B0B83606}"/>
    <cellStyle name="20% - Accent6 2 5 3" xfId="5373" xr:uid="{00000000-0005-0000-0000-000066030000}"/>
    <cellStyle name="20% - Accent6 2 5 3 2" xfId="13815" xr:uid="{37F1A6FF-B147-4F83-A46F-B1C093932C05}"/>
    <cellStyle name="20% - Accent6 2 5 4" xfId="9597" xr:uid="{70BE0179-FDAF-42DA-B9E5-AA6CA1413CC5}"/>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99F84E98-CFE8-4D12-A742-3B81E6DC3D35}"/>
    <cellStyle name="20% - Accent6 2 6 2 3" xfId="12155" xr:uid="{A213700C-E428-487F-9EC0-CEBF173FF71B}"/>
    <cellStyle name="20% - Accent6 2 6 3" xfId="5786" xr:uid="{00000000-0005-0000-0000-00006A030000}"/>
    <cellStyle name="20% - Accent6 2 6 3 2" xfId="14228" xr:uid="{BB2D7370-20F7-487F-B1CF-53A35E68F6F2}"/>
    <cellStyle name="20% - Accent6 2 6 4" xfId="10010" xr:uid="{70548568-DB21-4CAE-9F3E-AD8F94B03190}"/>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6F54C3EE-1025-4548-B461-D19EE62B211B}"/>
    <cellStyle name="20% - Accent6 2 7 2 3" xfId="12568" xr:uid="{B920B754-8133-4156-982C-C731F1AADE3F}"/>
    <cellStyle name="20% - Accent6 2 7 3" xfId="6199" xr:uid="{00000000-0005-0000-0000-00006E030000}"/>
    <cellStyle name="20% - Accent6 2 7 3 2" xfId="14641" xr:uid="{E05BB3AD-DDA2-438A-AFAC-6FE860A35323}"/>
    <cellStyle name="20% - Accent6 2 7 4" xfId="10423" xr:uid="{1219A504-ABA5-4A40-AAB7-F0923B208F56}"/>
    <cellStyle name="20% - Accent6 2 8" xfId="2305" xr:uid="{00000000-0005-0000-0000-00006F030000}"/>
    <cellStyle name="20% - Accent6 2 8 2" xfId="6612" xr:uid="{00000000-0005-0000-0000-000070030000}"/>
    <cellStyle name="20% - Accent6 2 8 2 2" xfId="15054" xr:uid="{3E501BAE-8057-4CF9-89AE-4F6A4CCE54C8}"/>
    <cellStyle name="20% - Accent6 2 8 3" xfId="10836" xr:uid="{BF57D134-95F0-412F-8180-17937D0E3CAB}"/>
    <cellStyle name="20% - Accent6 2 9" xfId="4546" xr:uid="{00000000-0005-0000-0000-000071030000}"/>
    <cellStyle name="20% - Accent6 2 9 2" xfId="12988" xr:uid="{4A37E85D-1909-4BD3-8DDE-F769234483BA}"/>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D7234F53-5BAA-4643-9A0B-E6EFBADF0556}"/>
    <cellStyle name="20% - Accent6 3 2 2 2 3" xfId="11334" xr:uid="{44C0A7C7-5952-44BF-A7AA-155E3D415212}"/>
    <cellStyle name="20% - Accent6 3 2 2 3" xfId="4965" xr:uid="{00000000-0005-0000-0000-000077030000}"/>
    <cellStyle name="20% - Accent6 3 2 2 3 2" xfId="13407" xr:uid="{45DBE441-289A-467F-91D1-82DD722E9FA7}"/>
    <cellStyle name="20% - Accent6 3 2 2 4" xfId="9189" xr:uid="{4CFB3ED3-5F47-45C5-B0A0-D86972705363}"/>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9EB4A600-5905-4496-A9A0-90D80CE575B4}"/>
    <cellStyle name="20% - Accent6 3 2 3 2 3" xfId="11747" xr:uid="{51630B8C-42E0-43E4-ABF7-0E5F77FC96FE}"/>
    <cellStyle name="20% - Accent6 3 2 3 3" xfId="5378" xr:uid="{00000000-0005-0000-0000-00007B030000}"/>
    <cellStyle name="20% - Accent6 3 2 3 3 2" xfId="13820" xr:uid="{15E6E5DB-1B4C-4446-B57C-074427FD3298}"/>
    <cellStyle name="20% - Accent6 3 2 3 4" xfId="9602" xr:uid="{60BE93AA-4B48-4091-A1F3-D03B9EB42180}"/>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452EDC78-029B-4131-8621-DADC5D3AB6B5}"/>
    <cellStyle name="20% - Accent6 3 2 4 2 3" xfId="12160" xr:uid="{DD49FC90-09F1-4BA1-A762-7007EC5CB721}"/>
    <cellStyle name="20% - Accent6 3 2 4 3" xfId="5791" xr:uid="{00000000-0005-0000-0000-00007F030000}"/>
    <cellStyle name="20% - Accent6 3 2 4 3 2" xfId="14233" xr:uid="{CF1050F7-42C5-44BA-84DA-869B117724E5}"/>
    <cellStyle name="20% - Accent6 3 2 4 4" xfId="10015" xr:uid="{D1C16247-308F-4CB0-B30D-FA353614BECF}"/>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B6FED85A-1F7A-4662-BCE8-25607D76A11C}"/>
    <cellStyle name="20% - Accent6 3 2 5 2 3" xfId="12573" xr:uid="{C8EE2E96-7FF7-4DE0-9121-F51D3D14B2A6}"/>
    <cellStyle name="20% - Accent6 3 2 5 3" xfId="6204" xr:uid="{00000000-0005-0000-0000-000083030000}"/>
    <cellStyle name="20% - Accent6 3 2 5 3 2" xfId="14646" xr:uid="{78981668-E91A-4EB7-913E-F0556B58B2DD}"/>
    <cellStyle name="20% - Accent6 3 2 5 4" xfId="10428" xr:uid="{DC42CB05-9E88-4FEA-810E-BF14CCC86457}"/>
    <cellStyle name="20% - Accent6 3 2 6" xfId="2310" xr:uid="{00000000-0005-0000-0000-000084030000}"/>
    <cellStyle name="20% - Accent6 3 2 6 2" xfId="6617" xr:uid="{00000000-0005-0000-0000-000085030000}"/>
    <cellStyle name="20% - Accent6 3 2 6 2 2" xfId="15059" xr:uid="{D22F2591-E6ED-4B1E-8263-58E8EC1EF0F9}"/>
    <cellStyle name="20% - Accent6 3 2 6 3" xfId="10841" xr:uid="{89B12DD9-702B-482F-AAAC-4C76868C83CE}"/>
    <cellStyle name="20% - Accent6 3 2 7" xfId="4551" xr:uid="{00000000-0005-0000-0000-000086030000}"/>
    <cellStyle name="20% - Accent6 3 2 7 2" xfId="12993" xr:uid="{18DD128C-03D6-4576-9388-7D2EDA58C2DC}"/>
    <cellStyle name="20% - Accent6 3 2 8" xfId="8775" xr:uid="{D9D3EFF2-BD91-47F8-ABBA-BD02329936A7}"/>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6E7ADD3F-EC5D-4E6E-911B-DCBCC12E739D}"/>
    <cellStyle name="20% - Accent6 3 3 2 3" xfId="11333" xr:uid="{EDACBFDB-6B0C-457E-8B74-6CCAB6344F46}"/>
    <cellStyle name="20% - Accent6 3 3 3" xfId="4964" xr:uid="{00000000-0005-0000-0000-00008A030000}"/>
    <cellStyle name="20% - Accent6 3 3 3 2" xfId="13406" xr:uid="{3A5ADE2A-33DA-40B6-84F5-8FAA7D7086B8}"/>
    <cellStyle name="20% - Accent6 3 3 4" xfId="9188" xr:uid="{D3D053D0-82C0-4A74-BD23-248DF1C03E47}"/>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91ABF55E-AEF6-4757-B936-57A72EFB1D0E}"/>
    <cellStyle name="20% - Accent6 3 4 2 3" xfId="11746" xr:uid="{0FFB36D1-815E-46C1-AA13-39F9ED149903}"/>
    <cellStyle name="20% - Accent6 3 4 3" xfId="5377" xr:uid="{00000000-0005-0000-0000-00008E030000}"/>
    <cellStyle name="20% - Accent6 3 4 3 2" xfId="13819" xr:uid="{528CC4B1-BD9E-4177-B82C-FC715C26F83A}"/>
    <cellStyle name="20% - Accent6 3 4 4" xfId="9601" xr:uid="{C81C9E9A-BDC3-4ED0-A89B-DAC5BD4E1CF8}"/>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5D886B44-8737-457C-A066-70F11728FF35}"/>
    <cellStyle name="20% - Accent6 3 5 2 3" xfId="12159" xr:uid="{E30A77B4-802A-482C-838B-169C56F4DC37}"/>
    <cellStyle name="20% - Accent6 3 5 3" xfId="5790" xr:uid="{00000000-0005-0000-0000-000092030000}"/>
    <cellStyle name="20% - Accent6 3 5 3 2" xfId="14232" xr:uid="{67979061-862D-4EDF-A362-72E329CEACBD}"/>
    <cellStyle name="20% - Accent6 3 5 4" xfId="10014" xr:uid="{B370BA62-2D3A-4516-BBF3-55CA9F38632E}"/>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77049D00-6D33-4268-956B-5329641997BC}"/>
    <cellStyle name="20% - Accent6 3 6 2 3" xfId="12572" xr:uid="{BBA0A577-35F9-40EC-86E6-E2101EE33EDE}"/>
    <cellStyle name="20% - Accent6 3 6 3" xfId="6203" xr:uid="{00000000-0005-0000-0000-000096030000}"/>
    <cellStyle name="20% - Accent6 3 6 3 2" xfId="14645" xr:uid="{0A0FB8FC-3E2B-45C1-BA02-933B753EB515}"/>
    <cellStyle name="20% - Accent6 3 6 4" xfId="10427" xr:uid="{63E22307-5205-4515-8AEE-5269BA24989C}"/>
    <cellStyle name="20% - Accent6 3 7" xfId="2309" xr:uid="{00000000-0005-0000-0000-000097030000}"/>
    <cellStyle name="20% - Accent6 3 7 2" xfId="6616" xr:uid="{00000000-0005-0000-0000-000098030000}"/>
    <cellStyle name="20% - Accent6 3 7 2 2" xfId="15058" xr:uid="{B60220CA-F912-4C19-B067-52B98EE000AC}"/>
    <cellStyle name="20% - Accent6 3 7 3" xfId="10840" xr:uid="{8869A66A-93C1-4272-B48F-7D2AC3DC0661}"/>
    <cellStyle name="20% - Accent6 3 8" xfId="4550" xr:uid="{00000000-0005-0000-0000-000099030000}"/>
    <cellStyle name="20% - Accent6 3 8 2" xfId="12992" xr:uid="{C1F12597-6E76-466D-8BF2-1AF457F26079}"/>
    <cellStyle name="20% - Accent6 3 9" xfId="8774" xr:uid="{C150F4FA-DCBE-47EC-AFCA-A97099AC9622}"/>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39E9B7F0-3731-44B3-9300-48826F5C1CA0}"/>
    <cellStyle name="20% - Accent6 4 2 2 3" xfId="11335" xr:uid="{B38286C9-1BC1-40C5-A8B4-EEFAD8882456}"/>
    <cellStyle name="20% - Accent6 4 2 3" xfId="4966" xr:uid="{00000000-0005-0000-0000-00009E030000}"/>
    <cellStyle name="20% - Accent6 4 2 3 2" xfId="13408" xr:uid="{48715A6C-2C1F-4C83-9FB2-C0AE0518DF3E}"/>
    <cellStyle name="20% - Accent6 4 2 4" xfId="9190" xr:uid="{DFDE6139-A3C0-4939-BDF8-5EA4D5A98CAA}"/>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4B6B82FD-9F06-4340-840C-2319B602C75A}"/>
    <cellStyle name="20% - Accent6 4 3 2 3" xfId="11748" xr:uid="{00ACF8A3-47E7-4B32-BE58-64FF51228C8C}"/>
    <cellStyle name="20% - Accent6 4 3 3" xfId="5379" xr:uid="{00000000-0005-0000-0000-0000A2030000}"/>
    <cellStyle name="20% - Accent6 4 3 3 2" xfId="13821" xr:uid="{374BD74C-4CA9-473D-9A48-84478081857F}"/>
    <cellStyle name="20% - Accent6 4 3 4" xfId="9603" xr:uid="{C57B1349-E49E-46FF-B663-B7497A917E29}"/>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D71B3514-102F-4118-9035-095FDEBF3584}"/>
    <cellStyle name="20% - Accent6 4 4 2 3" xfId="12161" xr:uid="{2AED2AD9-BF56-4EDF-8783-C7608331EEEB}"/>
    <cellStyle name="20% - Accent6 4 4 3" xfId="5792" xr:uid="{00000000-0005-0000-0000-0000A6030000}"/>
    <cellStyle name="20% - Accent6 4 4 3 2" xfId="14234" xr:uid="{37387416-029D-48F9-987D-C205177DA2B2}"/>
    <cellStyle name="20% - Accent6 4 4 4" xfId="10016" xr:uid="{AC871FC4-C68A-44E4-B563-20F17FCF5C26}"/>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26AB5031-8436-4734-B172-6E3D256473B0}"/>
    <cellStyle name="20% - Accent6 4 5 2 3" xfId="12574" xr:uid="{B63E8475-941D-4F19-A56F-7F0F0154DF3D}"/>
    <cellStyle name="20% - Accent6 4 5 3" xfId="6205" xr:uid="{00000000-0005-0000-0000-0000AA030000}"/>
    <cellStyle name="20% - Accent6 4 5 3 2" xfId="14647" xr:uid="{877BB498-C5AA-48C9-A2BE-B3E35C4F6DFB}"/>
    <cellStyle name="20% - Accent6 4 5 4" xfId="10429" xr:uid="{6CF31000-19E0-439B-8A14-77A821B2734D}"/>
    <cellStyle name="20% - Accent6 4 6" xfId="2311" xr:uid="{00000000-0005-0000-0000-0000AB030000}"/>
    <cellStyle name="20% - Accent6 4 6 2" xfId="6618" xr:uid="{00000000-0005-0000-0000-0000AC030000}"/>
    <cellStyle name="20% - Accent6 4 6 2 2" xfId="15060" xr:uid="{47F589FF-C9D0-4ADE-B98C-1BEF284E9FE8}"/>
    <cellStyle name="20% - Accent6 4 6 3" xfId="10842" xr:uid="{00E77700-4362-497E-9F0F-F6CD1CFC8E98}"/>
    <cellStyle name="20% - Accent6 4 7" xfId="4552" xr:uid="{00000000-0005-0000-0000-0000AD030000}"/>
    <cellStyle name="20% - Accent6 4 7 2" xfId="12994" xr:uid="{52ACA403-FA85-4A85-B2E6-2791E58207D5}"/>
    <cellStyle name="20% - Accent6 4 8" xfId="8776" xr:uid="{394CE3E5-4069-427B-B530-A7BF01DBA877}"/>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336AFF73-D27E-4AAD-AA90-D6D3D54FA9C4}"/>
    <cellStyle name="20% - Accent6 5 2 3" xfId="11328" xr:uid="{BBAD648D-86B7-421E-95EC-F95E4FF940DF}"/>
    <cellStyle name="20% - Accent6 5 3" xfId="4959" xr:uid="{00000000-0005-0000-0000-0000B1030000}"/>
    <cellStyle name="20% - Accent6 5 3 2" xfId="13401" xr:uid="{4488B59D-B0B6-494C-8946-E32C3159F2A5}"/>
    <cellStyle name="20% - Accent6 5 4" xfId="9183" xr:uid="{CC927211-91D2-48A6-B091-00706DA3E744}"/>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87B7893D-0976-428A-8AEF-D57446AC52C9}"/>
    <cellStyle name="20% - Accent6 6 2 3" xfId="11741" xr:uid="{C54CF90F-2650-4561-970E-2FF358FFC082}"/>
    <cellStyle name="20% - Accent6 6 3" xfId="5372" xr:uid="{00000000-0005-0000-0000-0000B5030000}"/>
    <cellStyle name="20% - Accent6 6 3 2" xfId="13814" xr:uid="{E92136B8-D3A1-4F12-9C85-B4AA6F0E705F}"/>
    <cellStyle name="20% - Accent6 6 4" xfId="9596" xr:uid="{8A724627-72D0-4683-BB89-02DEE8E14628}"/>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F4578FEC-E582-4E19-A327-ABACDDBE1BBE}"/>
    <cellStyle name="20% - Accent6 7 2 3" xfId="12154" xr:uid="{2FAB6A30-996B-4021-B078-3C4C2449F92A}"/>
    <cellStyle name="20% - Accent6 7 3" xfId="5785" xr:uid="{00000000-0005-0000-0000-0000B9030000}"/>
    <cellStyle name="20% - Accent6 7 3 2" xfId="14227" xr:uid="{9F96D44A-43B1-493A-AF0B-1713A345D759}"/>
    <cellStyle name="20% - Accent6 7 4" xfId="10009" xr:uid="{9D0DD9AA-5F18-48A1-85B3-58E944B16704}"/>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9024DB2A-0812-4EB3-A216-9BACB46867ED}"/>
    <cellStyle name="20% - Accent6 8 2 3" xfId="12567" xr:uid="{CB965369-D454-4E23-8663-C4747F1120AC}"/>
    <cellStyle name="20% - Accent6 8 3" xfId="6198" xr:uid="{00000000-0005-0000-0000-0000BD030000}"/>
    <cellStyle name="20% - Accent6 8 3 2" xfId="14640" xr:uid="{8C304571-597A-4E8D-B019-A920129EF8ED}"/>
    <cellStyle name="20% - Accent6 8 4" xfId="10422" xr:uid="{48F14B9D-DD6A-47BE-939B-2287426CAF10}"/>
    <cellStyle name="20% - Accent6 9" xfId="2304" xr:uid="{00000000-0005-0000-0000-0000BE030000}"/>
    <cellStyle name="20% - Accent6 9 2" xfId="6611" xr:uid="{00000000-0005-0000-0000-0000BF030000}"/>
    <cellStyle name="20% - Accent6 9 2 2" xfId="15053" xr:uid="{A3DC0EF2-5FED-470F-8326-C34938F4A9A8}"/>
    <cellStyle name="20% - Accent6 9 3" xfId="10835" xr:uid="{D710C3DF-CC75-4552-8811-835FC706FBF5}"/>
    <cellStyle name="40% - Accent1" xfId="49" builtinId="31" customBuiltin="1"/>
    <cellStyle name="40% - Accent1 10" xfId="4553" xr:uid="{00000000-0005-0000-0000-0000C1030000}"/>
    <cellStyle name="40% - Accent1 10 2" xfId="12995" xr:uid="{AAF5AF62-6999-4502-8555-516280379DE6}"/>
    <cellStyle name="40% - Accent1 11" xfId="8777" xr:uid="{8B0ECEEF-D332-4236-B6AD-3EE4A9B48164}"/>
    <cellStyle name="40% - Accent1 2" xfId="50" xr:uid="{00000000-0005-0000-0000-0000C2030000}"/>
    <cellStyle name="40% - Accent1 2 10" xfId="8778" xr:uid="{FD401F2A-019C-4C88-992F-E42940323A27}"/>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2D230A2A-32F3-4192-9313-C694D97E241A}"/>
    <cellStyle name="40% - Accent1 2 2 2 2 2 3" xfId="11339" xr:uid="{FFD1C6F2-1209-459A-BFEC-F99CB8710519}"/>
    <cellStyle name="40% - Accent1 2 2 2 2 3" xfId="4970" xr:uid="{00000000-0005-0000-0000-0000C8030000}"/>
    <cellStyle name="40% - Accent1 2 2 2 2 3 2" xfId="13412" xr:uid="{60DFD7E1-0891-4CDC-B0D1-738B6A5DF76E}"/>
    <cellStyle name="40% - Accent1 2 2 2 2 4" xfId="9194" xr:uid="{8EAFC3BB-8E5F-4456-8F12-2EA0D8A14F6F}"/>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5A494CF2-7A1D-48A9-8358-0A5BFA17A539}"/>
    <cellStyle name="40% - Accent1 2 2 2 3 2 3" xfId="11752" xr:uid="{E9B5C458-90EA-402F-BF30-065C19634212}"/>
    <cellStyle name="40% - Accent1 2 2 2 3 3" xfId="5383" xr:uid="{00000000-0005-0000-0000-0000CC030000}"/>
    <cellStyle name="40% - Accent1 2 2 2 3 3 2" xfId="13825" xr:uid="{F403CC7B-A253-4293-B745-1DDDC854B174}"/>
    <cellStyle name="40% - Accent1 2 2 2 3 4" xfId="9607" xr:uid="{23F26EEF-B856-432A-82FE-D19D27C0F6D5}"/>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13582BF1-3FE0-43A8-8629-0A9BC983D0C4}"/>
    <cellStyle name="40% - Accent1 2 2 2 4 2 3" xfId="12165" xr:uid="{2F71086A-2A9F-4A6C-B4D2-07135FA5300A}"/>
    <cellStyle name="40% - Accent1 2 2 2 4 3" xfId="5796" xr:uid="{00000000-0005-0000-0000-0000D0030000}"/>
    <cellStyle name="40% - Accent1 2 2 2 4 3 2" xfId="14238" xr:uid="{0CBF4934-0E05-4E58-817A-C99465494E02}"/>
    <cellStyle name="40% - Accent1 2 2 2 4 4" xfId="10020" xr:uid="{5CBE49BD-E5C9-4DF5-8714-8A398CC16B18}"/>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FECFC5F4-B3C6-4215-9BDC-E7A17B032902}"/>
    <cellStyle name="40% - Accent1 2 2 2 5 2 3" xfId="12578" xr:uid="{34B21027-6FC1-4107-98A2-05B77BEBD6ED}"/>
    <cellStyle name="40% - Accent1 2 2 2 5 3" xfId="6209" xr:uid="{00000000-0005-0000-0000-0000D4030000}"/>
    <cellStyle name="40% - Accent1 2 2 2 5 3 2" xfId="14651" xr:uid="{C253ABE3-3A77-41B4-B757-6E27486AC97A}"/>
    <cellStyle name="40% - Accent1 2 2 2 5 4" xfId="10433" xr:uid="{42C482D8-5DD0-4228-8929-4DBCA2683FC8}"/>
    <cellStyle name="40% - Accent1 2 2 2 6" xfId="2315" xr:uid="{00000000-0005-0000-0000-0000D5030000}"/>
    <cellStyle name="40% - Accent1 2 2 2 6 2" xfId="6622" xr:uid="{00000000-0005-0000-0000-0000D6030000}"/>
    <cellStyle name="40% - Accent1 2 2 2 6 2 2" xfId="15064" xr:uid="{55B2DDE5-808B-4B21-BAF2-182E2B8597B0}"/>
    <cellStyle name="40% - Accent1 2 2 2 6 3" xfId="10846" xr:uid="{48DDB820-7F0D-4DFF-9133-57BDA484502B}"/>
    <cellStyle name="40% - Accent1 2 2 2 7" xfId="4556" xr:uid="{00000000-0005-0000-0000-0000D7030000}"/>
    <cellStyle name="40% - Accent1 2 2 2 7 2" xfId="12998" xr:uid="{0B595CB3-8857-4073-9E87-D9F822464DF0}"/>
    <cellStyle name="40% - Accent1 2 2 2 8" xfId="8780" xr:uid="{567752B1-B3F8-438D-8314-32F262199AA4}"/>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5B083DD3-9B76-4658-8E1A-C91739E58528}"/>
    <cellStyle name="40% - Accent1 2 2 3 2 3" xfId="11338" xr:uid="{A5B71B26-27BA-47C2-84A2-227F9C739899}"/>
    <cellStyle name="40% - Accent1 2 2 3 3" xfId="4969" xr:uid="{00000000-0005-0000-0000-0000DB030000}"/>
    <cellStyle name="40% - Accent1 2 2 3 3 2" xfId="13411" xr:uid="{A8EC834F-A31A-47A1-90E7-3693F744B31A}"/>
    <cellStyle name="40% - Accent1 2 2 3 4" xfId="9193" xr:uid="{2C435B1A-43A1-40FB-9BBE-CDDD59E952C3}"/>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AE9641D9-6D51-4661-BEA5-9A235E7395E4}"/>
    <cellStyle name="40% - Accent1 2 2 4 2 3" xfId="11751" xr:uid="{7D00B5C0-9B70-41D7-93ED-456FFFF8A3EB}"/>
    <cellStyle name="40% - Accent1 2 2 4 3" xfId="5382" xr:uid="{00000000-0005-0000-0000-0000DF030000}"/>
    <cellStyle name="40% - Accent1 2 2 4 3 2" xfId="13824" xr:uid="{6E56CCA9-C1DA-4564-893D-CE73F57C056B}"/>
    <cellStyle name="40% - Accent1 2 2 4 4" xfId="9606" xr:uid="{BA48CDB3-B9AF-4C96-BECB-DFFF9E61FF17}"/>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4D3F7055-48E7-429E-95B3-AC0A56259009}"/>
    <cellStyle name="40% - Accent1 2 2 5 2 3" xfId="12164" xr:uid="{E6D5AA06-F6FC-4B4D-A57E-84D7ECD42AF0}"/>
    <cellStyle name="40% - Accent1 2 2 5 3" xfId="5795" xr:uid="{00000000-0005-0000-0000-0000E3030000}"/>
    <cellStyle name="40% - Accent1 2 2 5 3 2" xfId="14237" xr:uid="{51CADDC8-7051-426D-8E5B-6EF7D868A582}"/>
    <cellStyle name="40% - Accent1 2 2 5 4" xfId="10019" xr:uid="{90A7B243-06EE-4E21-9D1E-4AAA7411880A}"/>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145139B6-0210-44BF-84F8-559297B2FB24}"/>
    <cellStyle name="40% - Accent1 2 2 6 2 3" xfId="12577" xr:uid="{65DBD006-A806-478C-9B2B-DC4AE27D09E9}"/>
    <cellStyle name="40% - Accent1 2 2 6 3" xfId="6208" xr:uid="{00000000-0005-0000-0000-0000E7030000}"/>
    <cellStyle name="40% - Accent1 2 2 6 3 2" xfId="14650" xr:uid="{BDF16D3F-6FCB-4947-9F96-EC4C67E16743}"/>
    <cellStyle name="40% - Accent1 2 2 6 4" xfId="10432" xr:uid="{CC3C8434-2AFE-4335-8C35-C485901C01EA}"/>
    <cellStyle name="40% - Accent1 2 2 7" xfId="2314" xr:uid="{00000000-0005-0000-0000-0000E8030000}"/>
    <cellStyle name="40% - Accent1 2 2 7 2" xfId="6621" xr:uid="{00000000-0005-0000-0000-0000E9030000}"/>
    <cellStyle name="40% - Accent1 2 2 7 2 2" xfId="15063" xr:uid="{AE3A5771-2291-48A8-92A3-CF283D2047C2}"/>
    <cellStyle name="40% - Accent1 2 2 7 3" xfId="10845" xr:uid="{37560FD6-33B7-45E2-83D2-042C72CCF715}"/>
    <cellStyle name="40% - Accent1 2 2 8" xfId="4555" xr:uid="{00000000-0005-0000-0000-0000EA030000}"/>
    <cellStyle name="40% - Accent1 2 2 8 2" xfId="12997" xr:uid="{0E39D7C6-7172-487D-9396-BACD19ACC129}"/>
    <cellStyle name="40% - Accent1 2 2 9" xfId="8779" xr:uid="{25BBF531-2784-4B80-8E7A-420C52FE9829}"/>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4955A6A9-0D53-4595-AFCC-E1866949547F}"/>
    <cellStyle name="40% - Accent1 2 3 2 2 3" xfId="11340" xr:uid="{51550B7D-E030-4CF4-8BBD-5006C7846541}"/>
    <cellStyle name="40% - Accent1 2 3 2 3" xfId="4971" xr:uid="{00000000-0005-0000-0000-0000EF030000}"/>
    <cellStyle name="40% - Accent1 2 3 2 3 2" xfId="13413" xr:uid="{08FB6A0B-1BBA-4251-8ABF-589DCD09754F}"/>
    <cellStyle name="40% - Accent1 2 3 2 4" xfId="9195" xr:uid="{169D6AB4-CD0E-4D75-A25D-7082068F8007}"/>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C4C66293-1520-4429-9D56-243CE0BB2FB6}"/>
    <cellStyle name="40% - Accent1 2 3 3 2 3" xfId="11753" xr:uid="{36431C33-96E5-4A5C-B9F9-A8E7BB88F26A}"/>
    <cellStyle name="40% - Accent1 2 3 3 3" xfId="5384" xr:uid="{00000000-0005-0000-0000-0000F3030000}"/>
    <cellStyle name="40% - Accent1 2 3 3 3 2" xfId="13826" xr:uid="{37BE19C7-7954-47BD-85D3-E800B7B0DDE6}"/>
    <cellStyle name="40% - Accent1 2 3 3 4" xfId="9608" xr:uid="{C8AE8E72-7D7E-4DFC-90DF-BCA34B88DD77}"/>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DEA5AFEF-8991-4887-A89E-B30A385C0B95}"/>
    <cellStyle name="40% - Accent1 2 3 4 2 3" xfId="12166" xr:uid="{01817B98-2113-4C99-B060-8B17AE1F8FEF}"/>
    <cellStyle name="40% - Accent1 2 3 4 3" xfId="5797" xr:uid="{00000000-0005-0000-0000-0000F7030000}"/>
    <cellStyle name="40% - Accent1 2 3 4 3 2" xfId="14239" xr:uid="{1AC51DF0-C078-4AFB-9A42-BA4524C99409}"/>
    <cellStyle name="40% - Accent1 2 3 4 4" xfId="10021" xr:uid="{32E04C10-CC5F-471A-808F-9B34798DCB15}"/>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337ACA0E-4EB5-4DA5-8F73-A3CCF48DDA8A}"/>
    <cellStyle name="40% - Accent1 2 3 5 2 3" xfId="12579" xr:uid="{F6C30AD1-08DF-4621-ADD4-164432E8C1B5}"/>
    <cellStyle name="40% - Accent1 2 3 5 3" xfId="6210" xr:uid="{00000000-0005-0000-0000-0000FB030000}"/>
    <cellStyle name="40% - Accent1 2 3 5 3 2" xfId="14652" xr:uid="{39F3C2AD-84EF-4D82-89EC-B1F9F5F7C29B}"/>
    <cellStyle name="40% - Accent1 2 3 5 4" xfId="10434" xr:uid="{A97E65C3-0CC9-4042-A4CB-2D8A32126589}"/>
    <cellStyle name="40% - Accent1 2 3 6" xfId="2316" xr:uid="{00000000-0005-0000-0000-0000FC030000}"/>
    <cellStyle name="40% - Accent1 2 3 6 2" xfId="6623" xr:uid="{00000000-0005-0000-0000-0000FD030000}"/>
    <cellStyle name="40% - Accent1 2 3 6 2 2" xfId="15065" xr:uid="{B67EDCBA-334F-4A75-A29F-C05705CD0786}"/>
    <cellStyle name="40% - Accent1 2 3 6 3" xfId="10847" xr:uid="{B75EA083-6803-44B9-B0CB-71E15B7A231E}"/>
    <cellStyle name="40% - Accent1 2 3 7" xfId="4557" xr:uid="{00000000-0005-0000-0000-0000FE030000}"/>
    <cellStyle name="40% - Accent1 2 3 7 2" xfId="12999" xr:uid="{E553A817-B814-45B4-86C3-1B87C3CC1998}"/>
    <cellStyle name="40% - Accent1 2 3 8" xfId="8781" xr:uid="{B1B13F55-3B20-4CA3-B71C-54351790384E}"/>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C4DB15F8-9D40-4CA2-831D-09A9D9870729}"/>
    <cellStyle name="40% - Accent1 2 4 2 3" xfId="11337" xr:uid="{8CB4E8F8-443D-4D62-A04C-787DAFCEEB01}"/>
    <cellStyle name="40% - Accent1 2 4 3" xfId="4968" xr:uid="{00000000-0005-0000-0000-000002040000}"/>
    <cellStyle name="40% - Accent1 2 4 3 2" xfId="13410" xr:uid="{CE22DF40-E70A-4174-BCB8-8B0C30542483}"/>
    <cellStyle name="40% - Accent1 2 4 4" xfId="9192" xr:uid="{BF69BFCA-953E-442B-999F-F113F9A02D74}"/>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2FA727FA-55C1-4376-8F1F-1FA51B9578C3}"/>
    <cellStyle name="40% - Accent1 2 5 2 3" xfId="11750" xr:uid="{B739177E-B73E-4CAD-9064-B64FDB6C4055}"/>
    <cellStyle name="40% - Accent1 2 5 3" xfId="5381" xr:uid="{00000000-0005-0000-0000-000006040000}"/>
    <cellStyle name="40% - Accent1 2 5 3 2" xfId="13823" xr:uid="{D8AA50AE-1C01-4301-9C69-12F0D9DDEDA9}"/>
    <cellStyle name="40% - Accent1 2 5 4" xfId="9605" xr:uid="{772C3226-BF4A-46DA-B159-94E8D2C08D20}"/>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F159A2A2-CC1B-441F-A53E-E1C86ACA1F88}"/>
    <cellStyle name="40% - Accent1 2 6 2 3" xfId="12163" xr:uid="{B5156FB7-34C4-4A75-95AF-F1D5E50C58E9}"/>
    <cellStyle name="40% - Accent1 2 6 3" xfId="5794" xr:uid="{00000000-0005-0000-0000-00000A040000}"/>
    <cellStyle name="40% - Accent1 2 6 3 2" xfId="14236" xr:uid="{49DF827B-7B50-4230-B1EF-8C3781841025}"/>
    <cellStyle name="40% - Accent1 2 6 4" xfId="10018" xr:uid="{C4447682-D6B6-4246-9A70-7F0E28BA3095}"/>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7430B603-F506-4D80-8119-29329FD61F87}"/>
    <cellStyle name="40% - Accent1 2 7 2 3" xfId="12576" xr:uid="{E1B1C9A1-15C3-47BC-9CF8-356FB3542BB3}"/>
    <cellStyle name="40% - Accent1 2 7 3" xfId="6207" xr:uid="{00000000-0005-0000-0000-00000E040000}"/>
    <cellStyle name="40% - Accent1 2 7 3 2" xfId="14649" xr:uid="{3E3219A1-BB7C-4EDE-AD3B-40B3AAC550AD}"/>
    <cellStyle name="40% - Accent1 2 7 4" xfId="10431" xr:uid="{C81EF039-A8B4-4FD0-973C-669CEFF5CB4C}"/>
    <cellStyle name="40% - Accent1 2 8" xfId="2313" xr:uid="{00000000-0005-0000-0000-00000F040000}"/>
    <cellStyle name="40% - Accent1 2 8 2" xfId="6620" xr:uid="{00000000-0005-0000-0000-000010040000}"/>
    <cellStyle name="40% - Accent1 2 8 2 2" xfId="15062" xr:uid="{35C129E7-B8F3-4374-94E2-A2E0E7FDC228}"/>
    <cellStyle name="40% - Accent1 2 8 3" xfId="10844" xr:uid="{2522FEEF-0133-4BDA-B3F1-203BA40E7747}"/>
    <cellStyle name="40% - Accent1 2 9" xfId="4554" xr:uid="{00000000-0005-0000-0000-000011040000}"/>
    <cellStyle name="40% - Accent1 2 9 2" xfId="12996" xr:uid="{A06BE320-9E18-47B5-87E5-484E997B8F91}"/>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8C4115D5-D468-4790-8C35-B65ED7CBB4E9}"/>
    <cellStyle name="40% - Accent1 3 2 2 2 3" xfId="11342" xr:uid="{9F63194E-D92D-41AE-A6FB-B4726732B513}"/>
    <cellStyle name="40% - Accent1 3 2 2 3" xfId="4973" xr:uid="{00000000-0005-0000-0000-000017040000}"/>
    <cellStyle name="40% - Accent1 3 2 2 3 2" xfId="13415" xr:uid="{181FDC32-A72A-4869-88BD-6E4AA1947228}"/>
    <cellStyle name="40% - Accent1 3 2 2 4" xfId="9197" xr:uid="{8951B5EC-A41F-409E-8FE0-7D58E592DA97}"/>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8421D3C2-543A-4321-A2A9-251C304609F5}"/>
    <cellStyle name="40% - Accent1 3 2 3 2 3" xfId="11755" xr:uid="{2A80A72E-87B8-4358-ADF5-AD4366D49004}"/>
    <cellStyle name="40% - Accent1 3 2 3 3" xfId="5386" xr:uid="{00000000-0005-0000-0000-00001B040000}"/>
    <cellStyle name="40% - Accent1 3 2 3 3 2" xfId="13828" xr:uid="{6F7EFE04-5ACE-44D9-B3DE-64346DDEF8F3}"/>
    <cellStyle name="40% - Accent1 3 2 3 4" xfId="9610" xr:uid="{7633A616-6087-47C3-885C-3B7009861B36}"/>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D1187E05-FFAE-4F89-80C9-8DD43D52848C}"/>
    <cellStyle name="40% - Accent1 3 2 4 2 3" xfId="12168" xr:uid="{012A8300-114A-4207-AC06-141DA788B2E2}"/>
    <cellStyle name="40% - Accent1 3 2 4 3" xfId="5799" xr:uid="{00000000-0005-0000-0000-00001F040000}"/>
    <cellStyle name="40% - Accent1 3 2 4 3 2" xfId="14241" xr:uid="{12573A57-5BF1-4452-87A9-A4C9615DCDE7}"/>
    <cellStyle name="40% - Accent1 3 2 4 4" xfId="10023" xr:uid="{987964F8-F74E-4C77-A928-4BDF149D0CD5}"/>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5680F000-9A66-46E2-B70F-6C6EAA9E3987}"/>
    <cellStyle name="40% - Accent1 3 2 5 2 3" xfId="12581" xr:uid="{1A2B091F-9F31-4195-9DF2-7AE81BEC5F63}"/>
    <cellStyle name="40% - Accent1 3 2 5 3" xfId="6212" xr:uid="{00000000-0005-0000-0000-000023040000}"/>
    <cellStyle name="40% - Accent1 3 2 5 3 2" xfId="14654" xr:uid="{FD83F69B-097D-4374-AF97-248ADA8BCA61}"/>
    <cellStyle name="40% - Accent1 3 2 5 4" xfId="10436" xr:uid="{3E5BF50A-FB46-4ABA-B3C3-3B202D4CD10E}"/>
    <cellStyle name="40% - Accent1 3 2 6" xfId="2318" xr:uid="{00000000-0005-0000-0000-000024040000}"/>
    <cellStyle name="40% - Accent1 3 2 6 2" xfId="6625" xr:uid="{00000000-0005-0000-0000-000025040000}"/>
    <cellStyle name="40% - Accent1 3 2 6 2 2" xfId="15067" xr:uid="{420F4C3D-8799-4C9E-AE61-15C2887910E0}"/>
    <cellStyle name="40% - Accent1 3 2 6 3" xfId="10849" xr:uid="{86448718-89FB-4D5F-BD66-356367CE1457}"/>
    <cellStyle name="40% - Accent1 3 2 7" xfId="4559" xr:uid="{00000000-0005-0000-0000-000026040000}"/>
    <cellStyle name="40% - Accent1 3 2 7 2" xfId="13001" xr:uid="{CC2E5BAE-9EBD-4DB4-8758-4F0FE05EB1E4}"/>
    <cellStyle name="40% - Accent1 3 2 8" xfId="8783" xr:uid="{ED75F3D0-DE7D-4FA2-9FED-67195FA37EE6}"/>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B7336E59-47BD-489B-8684-AE5269A7F0EE}"/>
    <cellStyle name="40% - Accent1 3 3 2 3" xfId="11341" xr:uid="{0FFC0B0D-24F5-4835-ABD4-FB417FADC13D}"/>
    <cellStyle name="40% - Accent1 3 3 3" xfId="4972" xr:uid="{00000000-0005-0000-0000-00002A040000}"/>
    <cellStyle name="40% - Accent1 3 3 3 2" xfId="13414" xr:uid="{9761A648-FC38-450D-AAE8-5D99F94043B5}"/>
    <cellStyle name="40% - Accent1 3 3 4" xfId="9196" xr:uid="{4D8A3203-DA12-42F5-B4D9-095F6978EAC9}"/>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8916BF19-C7AE-4389-9569-89F07B99663F}"/>
    <cellStyle name="40% - Accent1 3 4 2 3" xfId="11754" xr:uid="{4A8F73A3-EB7B-4C05-9C07-1210E98CA421}"/>
    <cellStyle name="40% - Accent1 3 4 3" xfId="5385" xr:uid="{00000000-0005-0000-0000-00002E040000}"/>
    <cellStyle name="40% - Accent1 3 4 3 2" xfId="13827" xr:uid="{6E0A60CB-B095-410C-8082-F4C7714EE0BB}"/>
    <cellStyle name="40% - Accent1 3 4 4" xfId="9609" xr:uid="{BBC3BBC7-B263-41AF-8598-04C42C1D0B82}"/>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BE15B1DE-C4BC-4BB6-AEA5-18BDFAA89A28}"/>
    <cellStyle name="40% - Accent1 3 5 2 3" xfId="12167" xr:uid="{231753F3-EFDF-4A1D-AA85-B2938089D408}"/>
    <cellStyle name="40% - Accent1 3 5 3" xfId="5798" xr:uid="{00000000-0005-0000-0000-000032040000}"/>
    <cellStyle name="40% - Accent1 3 5 3 2" xfId="14240" xr:uid="{7EA96313-D0A0-4127-A35D-A0601A6C650E}"/>
    <cellStyle name="40% - Accent1 3 5 4" xfId="10022" xr:uid="{CF59B30B-5F0F-4A7B-B952-FE0399D66BDE}"/>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FBC10428-9912-44F1-9B30-3AA769C4D506}"/>
    <cellStyle name="40% - Accent1 3 6 2 3" xfId="12580" xr:uid="{994BB95D-E5ED-4679-95CB-0D9E7B6A8E37}"/>
    <cellStyle name="40% - Accent1 3 6 3" xfId="6211" xr:uid="{00000000-0005-0000-0000-000036040000}"/>
    <cellStyle name="40% - Accent1 3 6 3 2" xfId="14653" xr:uid="{363E335E-7D14-4068-BC03-E7A70B5BBAAA}"/>
    <cellStyle name="40% - Accent1 3 6 4" xfId="10435" xr:uid="{D0BA1A23-23A5-4129-BDB2-96F66859EBE8}"/>
    <cellStyle name="40% - Accent1 3 7" xfId="2317" xr:uid="{00000000-0005-0000-0000-000037040000}"/>
    <cellStyle name="40% - Accent1 3 7 2" xfId="6624" xr:uid="{00000000-0005-0000-0000-000038040000}"/>
    <cellStyle name="40% - Accent1 3 7 2 2" xfId="15066" xr:uid="{52F19990-EB9F-4421-B176-95D15D9DA071}"/>
    <cellStyle name="40% - Accent1 3 7 3" xfId="10848" xr:uid="{DCF28810-9B59-4B0B-89A9-259533224AAB}"/>
    <cellStyle name="40% - Accent1 3 8" xfId="4558" xr:uid="{00000000-0005-0000-0000-000039040000}"/>
    <cellStyle name="40% - Accent1 3 8 2" xfId="13000" xr:uid="{D5F9CF62-F922-45F0-BCD0-B709D979019D}"/>
    <cellStyle name="40% - Accent1 3 9" xfId="8782" xr:uid="{C9163A49-4F5F-442D-8317-23DF67E4B203}"/>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712E0D85-5374-469F-81B4-0FDC7E64993C}"/>
    <cellStyle name="40% - Accent1 4 2 2 3" xfId="11343" xr:uid="{66F8888B-6A64-4D72-908A-2DEF7F291685}"/>
    <cellStyle name="40% - Accent1 4 2 3" xfId="4974" xr:uid="{00000000-0005-0000-0000-00003E040000}"/>
    <cellStyle name="40% - Accent1 4 2 3 2" xfId="13416" xr:uid="{900861B5-8F36-4E6D-9714-4ABA049AB035}"/>
    <cellStyle name="40% - Accent1 4 2 4" xfId="9198" xr:uid="{A54940BA-D83D-4D74-A592-51CA8A874628}"/>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4E7576F0-65E3-493B-A3A4-8441AD819302}"/>
    <cellStyle name="40% - Accent1 4 3 2 3" xfId="11756" xr:uid="{ABF67750-4BA3-448F-B73C-1A3DC544F4E3}"/>
    <cellStyle name="40% - Accent1 4 3 3" xfId="5387" xr:uid="{00000000-0005-0000-0000-000042040000}"/>
    <cellStyle name="40% - Accent1 4 3 3 2" xfId="13829" xr:uid="{E05B52FE-8CCD-46B4-BEF1-0F79A5D4927E}"/>
    <cellStyle name="40% - Accent1 4 3 4" xfId="9611" xr:uid="{E66235BD-6E9B-4FDD-A831-563952164563}"/>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32CA0506-A58A-4EA9-8843-A91A2B64DC78}"/>
    <cellStyle name="40% - Accent1 4 4 2 3" xfId="12169" xr:uid="{00B683D5-8752-4554-9020-C62F065D6045}"/>
    <cellStyle name="40% - Accent1 4 4 3" xfId="5800" xr:uid="{00000000-0005-0000-0000-000046040000}"/>
    <cellStyle name="40% - Accent1 4 4 3 2" xfId="14242" xr:uid="{402D3EAE-4E09-41F1-95B9-19401CFB6273}"/>
    <cellStyle name="40% - Accent1 4 4 4" xfId="10024" xr:uid="{367A1383-1E7A-4422-840E-A246463E49C1}"/>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AD0485D0-8B5B-4F9B-8125-A93697E85682}"/>
    <cellStyle name="40% - Accent1 4 5 2 3" xfId="12582" xr:uid="{C7336247-A60D-4C78-94EA-E16F2ED5C0C0}"/>
    <cellStyle name="40% - Accent1 4 5 3" xfId="6213" xr:uid="{00000000-0005-0000-0000-00004A040000}"/>
    <cellStyle name="40% - Accent1 4 5 3 2" xfId="14655" xr:uid="{5F2C112B-B017-4C63-97D4-A308CF04AE43}"/>
    <cellStyle name="40% - Accent1 4 5 4" xfId="10437" xr:uid="{1E166D97-1522-411A-A12E-40E60153B6C9}"/>
    <cellStyle name="40% - Accent1 4 6" xfId="2319" xr:uid="{00000000-0005-0000-0000-00004B040000}"/>
    <cellStyle name="40% - Accent1 4 6 2" xfId="6626" xr:uid="{00000000-0005-0000-0000-00004C040000}"/>
    <cellStyle name="40% - Accent1 4 6 2 2" xfId="15068" xr:uid="{C878B612-6015-47B7-83D7-2551306B7785}"/>
    <cellStyle name="40% - Accent1 4 6 3" xfId="10850" xr:uid="{E102D5FA-0142-48AC-B91E-5B0F764BDAE1}"/>
    <cellStyle name="40% - Accent1 4 7" xfId="4560" xr:uid="{00000000-0005-0000-0000-00004D040000}"/>
    <cellStyle name="40% - Accent1 4 7 2" xfId="13002" xr:uid="{30AAD8EC-8BEF-443F-80D2-AE931A71D8CB}"/>
    <cellStyle name="40% - Accent1 4 8" xfId="8784" xr:uid="{C6E3CA3A-C1D7-400A-AD4D-183D1951676A}"/>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7F2B48B9-7A0B-4C7A-AF15-2CC1121609C3}"/>
    <cellStyle name="40% - Accent1 5 2 3" xfId="11336" xr:uid="{CB77CBC2-11EB-4A44-9B9F-D876973B6CC8}"/>
    <cellStyle name="40% - Accent1 5 3" xfId="4967" xr:uid="{00000000-0005-0000-0000-000051040000}"/>
    <cellStyle name="40% - Accent1 5 3 2" xfId="13409" xr:uid="{63BBE6C9-14E8-4634-8C25-07BE3AF7F75E}"/>
    <cellStyle name="40% - Accent1 5 4" xfId="9191" xr:uid="{DC6A8379-2602-4FAE-A132-AE090DCF063D}"/>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A0090B7D-998E-4783-B080-7290A1A038B0}"/>
    <cellStyle name="40% - Accent1 6 2 3" xfId="11749" xr:uid="{0E1158D2-23BE-4B74-B9E4-DDC096F6FE01}"/>
    <cellStyle name="40% - Accent1 6 3" xfId="5380" xr:uid="{00000000-0005-0000-0000-000055040000}"/>
    <cellStyle name="40% - Accent1 6 3 2" xfId="13822" xr:uid="{6CC81BCE-ABC2-4ACD-BE5D-6509B4BB8940}"/>
    <cellStyle name="40% - Accent1 6 4" xfId="9604" xr:uid="{665AF2A9-A6FE-4250-9621-3C61896BB634}"/>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4033B251-B218-49D2-A33F-9F3E36584740}"/>
    <cellStyle name="40% - Accent1 7 2 3" xfId="12162" xr:uid="{A36AAF3D-875A-42E7-BB97-20943A0BB7DF}"/>
    <cellStyle name="40% - Accent1 7 3" xfId="5793" xr:uid="{00000000-0005-0000-0000-000059040000}"/>
    <cellStyle name="40% - Accent1 7 3 2" xfId="14235" xr:uid="{A12B8001-3050-4F76-B016-3A99EFE9DF07}"/>
    <cellStyle name="40% - Accent1 7 4" xfId="10017" xr:uid="{CE758A4A-0545-420C-80DD-5433DD2F12BB}"/>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B76DFA0A-D5F8-4A4E-A2F1-A2D8969A1AD0}"/>
    <cellStyle name="40% - Accent1 8 2 3" xfId="12575" xr:uid="{3C506E13-4F5E-4863-BEA3-C89E7B42465A}"/>
    <cellStyle name="40% - Accent1 8 3" xfId="6206" xr:uid="{00000000-0005-0000-0000-00005D040000}"/>
    <cellStyle name="40% - Accent1 8 3 2" xfId="14648" xr:uid="{EFC3A27A-0C37-4A6A-923F-5778B115CA6B}"/>
    <cellStyle name="40% - Accent1 8 4" xfId="10430" xr:uid="{F3F6B2A0-B50C-49D4-A206-2503C3A06D5C}"/>
    <cellStyle name="40% - Accent1 9" xfId="2312" xr:uid="{00000000-0005-0000-0000-00005E040000}"/>
    <cellStyle name="40% - Accent1 9 2" xfId="6619" xr:uid="{00000000-0005-0000-0000-00005F040000}"/>
    <cellStyle name="40% - Accent1 9 2 2" xfId="15061" xr:uid="{C55D5E57-BEE9-45FA-A44E-7A6EC523D428}"/>
    <cellStyle name="40% - Accent1 9 3" xfId="10843" xr:uid="{AF811050-5CB8-4241-9CAB-9FD7A90A7E73}"/>
    <cellStyle name="40% - Accent2" xfId="57" builtinId="35" customBuiltin="1"/>
    <cellStyle name="40% - Accent2 10" xfId="4561" xr:uid="{00000000-0005-0000-0000-000061040000}"/>
    <cellStyle name="40% - Accent2 10 2" xfId="13003" xr:uid="{D8FC8525-54BE-413F-AB6E-486222B709F4}"/>
    <cellStyle name="40% - Accent2 11" xfId="8785" xr:uid="{265E6905-8176-42F8-80FF-C824DA08B0F0}"/>
    <cellStyle name="40% - Accent2 2" xfId="58" xr:uid="{00000000-0005-0000-0000-000062040000}"/>
    <cellStyle name="40% - Accent2 2 10" xfId="8786" xr:uid="{DB21EEC1-7E54-4BDD-A472-B913EDBA36FB}"/>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44ABCAE3-ED03-4F0C-8FFB-F3830A8A12C5}"/>
    <cellStyle name="40% - Accent2 2 2 2 2 2 3" xfId="11347" xr:uid="{29B9B897-16EF-4DA8-966A-F120D19E977B}"/>
    <cellStyle name="40% - Accent2 2 2 2 2 3" xfId="4978" xr:uid="{00000000-0005-0000-0000-000068040000}"/>
    <cellStyle name="40% - Accent2 2 2 2 2 3 2" xfId="13420" xr:uid="{DED51EAF-CF53-4ACE-A74C-05CF14A681D4}"/>
    <cellStyle name="40% - Accent2 2 2 2 2 4" xfId="9202" xr:uid="{365C2C9B-79E6-41B6-8B30-BFDDC915D184}"/>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624F41AE-B16F-45FB-A2CC-756FAFD988FF}"/>
    <cellStyle name="40% - Accent2 2 2 2 3 2 3" xfId="11760" xr:uid="{4C2D1706-0B3D-4943-AC32-AEEC79DA323D}"/>
    <cellStyle name="40% - Accent2 2 2 2 3 3" xfId="5391" xr:uid="{00000000-0005-0000-0000-00006C040000}"/>
    <cellStyle name="40% - Accent2 2 2 2 3 3 2" xfId="13833" xr:uid="{BD5D9305-A20D-40A2-A73F-D22749C89755}"/>
    <cellStyle name="40% - Accent2 2 2 2 3 4" xfId="9615" xr:uid="{D423DE6E-E519-4CCE-977F-C12FDDC6F472}"/>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EB857725-BBA8-49E5-8D1B-5FB661AA5CF3}"/>
    <cellStyle name="40% - Accent2 2 2 2 4 2 3" xfId="12173" xr:uid="{B7D7C814-343E-4833-AF39-3DA84079D677}"/>
    <cellStyle name="40% - Accent2 2 2 2 4 3" xfId="5804" xr:uid="{00000000-0005-0000-0000-000070040000}"/>
    <cellStyle name="40% - Accent2 2 2 2 4 3 2" xfId="14246" xr:uid="{B8E51FE3-A573-4FFF-A748-A7909B96D262}"/>
    <cellStyle name="40% - Accent2 2 2 2 4 4" xfId="10028" xr:uid="{DC985EB4-C237-4015-9901-B401E5EE688F}"/>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BF844B0C-6D35-455F-9A30-5F073DAA39A0}"/>
    <cellStyle name="40% - Accent2 2 2 2 5 2 3" xfId="12586" xr:uid="{31A7888C-CB06-464F-8B73-F1E18F019E87}"/>
    <cellStyle name="40% - Accent2 2 2 2 5 3" xfId="6217" xr:uid="{00000000-0005-0000-0000-000074040000}"/>
    <cellStyle name="40% - Accent2 2 2 2 5 3 2" xfId="14659" xr:uid="{966CB7BB-D4FD-4284-B1BC-2F8DFB097494}"/>
    <cellStyle name="40% - Accent2 2 2 2 5 4" xfId="10441" xr:uid="{D12EF37B-A8CA-446C-844A-C5925242489B}"/>
    <cellStyle name="40% - Accent2 2 2 2 6" xfId="2323" xr:uid="{00000000-0005-0000-0000-000075040000}"/>
    <cellStyle name="40% - Accent2 2 2 2 6 2" xfId="6630" xr:uid="{00000000-0005-0000-0000-000076040000}"/>
    <cellStyle name="40% - Accent2 2 2 2 6 2 2" xfId="15072" xr:uid="{6C736006-4083-4507-8AE5-E5CE640E213B}"/>
    <cellStyle name="40% - Accent2 2 2 2 6 3" xfId="10854" xr:uid="{2E9B1B37-BCA1-42EB-9914-BE2E18C1E180}"/>
    <cellStyle name="40% - Accent2 2 2 2 7" xfId="4564" xr:uid="{00000000-0005-0000-0000-000077040000}"/>
    <cellStyle name="40% - Accent2 2 2 2 7 2" xfId="13006" xr:uid="{43B8D0C5-308B-4855-8C1B-6DE133D6D96A}"/>
    <cellStyle name="40% - Accent2 2 2 2 8" xfId="8788" xr:uid="{B524C898-4E09-4752-89E0-84A954A08D05}"/>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426EFC5E-EF82-4FE3-B9A0-EF4AE8079F60}"/>
    <cellStyle name="40% - Accent2 2 2 3 2 3" xfId="11346" xr:uid="{444A41D2-6D4A-4693-B7F2-E86D7313F5BD}"/>
    <cellStyle name="40% - Accent2 2 2 3 3" xfId="4977" xr:uid="{00000000-0005-0000-0000-00007B040000}"/>
    <cellStyle name="40% - Accent2 2 2 3 3 2" xfId="13419" xr:uid="{C2CC614B-F266-41F8-9024-24EC29954488}"/>
    <cellStyle name="40% - Accent2 2 2 3 4" xfId="9201" xr:uid="{7F26F2B6-C4CE-4272-87C1-02114A05C099}"/>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AA66222E-40ED-4502-91D7-A154D95AEEB4}"/>
    <cellStyle name="40% - Accent2 2 2 4 2 3" xfId="11759" xr:uid="{C5A3A925-6A9B-4502-B21B-6F67F975B747}"/>
    <cellStyle name="40% - Accent2 2 2 4 3" xfId="5390" xr:uid="{00000000-0005-0000-0000-00007F040000}"/>
    <cellStyle name="40% - Accent2 2 2 4 3 2" xfId="13832" xr:uid="{D910D816-6DE0-4E51-8699-1E6504037C49}"/>
    <cellStyle name="40% - Accent2 2 2 4 4" xfId="9614" xr:uid="{0C97B8C3-15C6-4ED0-A659-B27780BBBA2C}"/>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6B6A07C6-B761-44D9-B616-BA04E6451B72}"/>
    <cellStyle name="40% - Accent2 2 2 5 2 3" xfId="12172" xr:uid="{1EF349FB-3E8D-4369-919E-51E5534EB986}"/>
    <cellStyle name="40% - Accent2 2 2 5 3" xfId="5803" xr:uid="{00000000-0005-0000-0000-000083040000}"/>
    <cellStyle name="40% - Accent2 2 2 5 3 2" xfId="14245" xr:uid="{9F7012FA-9E6F-46F4-AD62-2634E56B006D}"/>
    <cellStyle name="40% - Accent2 2 2 5 4" xfId="10027" xr:uid="{AC66FBFF-5105-4190-AC53-09AED72D6A17}"/>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6DAB57E1-8299-46F6-981A-BE403975C80E}"/>
    <cellStyle name="40% - Accent2 2 2 6 2 3" xfId="12585" xr:uid="{19F62858-2648-44A2-A6DE-74D31A34DA54}"/>
    <cellStyle name="40% - Accent2 2 2 6 3" xfId="6216" xr:uid="{00000000-0005-0000-0000-000087040000}"/>
    <cellStyle name="40% - Accent2 2 2 6 3 2" xfId="14658" xr:uid="{8E41629E-F956-4D79-8B19-6F46443FB23C}"/>
    <cellStyle name="40% - Accent2 2 2 6 4" xfId="10440" xr:uid="{BEF073FD-7A00-4E0A-B5AC-2E5990E6BCE6}"/>
    <cellStyle name="40% - Accent2 2 2 7" xfId="2322" xr:uid="{00000000-0005-0000-0000-000088040000}"/>
    <cellStyle name="40% - Accent2 2 2 7 2" xfId="6629" xr:uid="{00000000-0005-0000-0000-000089040000}"/>
    <cellStyle name="40% - Accent2 2 2 7 2 2" xfId="15071" xr:uid="{9DF99E4E-B8F2-46C5-9A40-199A6C44F56D}"/>
    <cellStyle name="40% - Accent2 2 2 7 3" xfId="10853" xr:uid="{4EEC3A8F-8717-4B3E-9486-4763E4C3B3D7}"/>
    <cellStyle name="40% - Accent2 2 2 8" xfId="4563" xr:uid="{00000000-0005-0000-0000-00008A040000}"/>
    <cellStyle name="40% - Accent2 2 2 8 2" xfId="13005" xr:uid="{1FC347E6-AAC8-428E-BA34-2B56A55EAC90}"/>
    <cellStyle name="40% - Accent2 2 2 9" xfId="8787" xr:uid="{D68A02FB-CCE9-4341-ACE3-88F35840D824}"/>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61307D9B-FE9E-4F18-B653-5E6655D4D0F6}"/>
    <cellStyle name="40% - Accent2 2 3 2 2 3" xfId="11348" xr:uid="{103F899F-44CA-4B26-AB53-67CA6C0B2C6B}"/>
    <cellStyle name="40% - Accent2 2 3 2 3" xfId="4979" xr:uid="{00000000-0005-0000-0000-00008F040000}"/>
    <cellStyle name="40% - Accent2 2 3 2 3 2" xfId="13421" xr:uid="{BC55EDA0-F9FA-4549-852A-9870624D440A}"/>
    <cellStyle name="40% - Accent2 2 3 2 4" xfId="9203" xr:uid="{1191A919-FC4C-4361-8542-61C8BFED27B8}"/>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5E4D7DBA-7D37-4015-B502-8AEBF84B5441}"/>
    <cellStyle name="40% - Accent2 2 3 3 2 3" xfId="11761" xr:uid="{A52C7589-178A-402A-9111-68DD074FCBAF}"/>
    <cellStyle name="40% - Accent2 2 3 3 3" xfId="5392" xr:uid="{00000000-0005-0000-0000-000093040000}"/>
    <cellStyle name="40% - Accent2 2 3 3 3 2" xfId="13834" xr:uid="{8710AF09-BEAF-4BC6-8F2E-F5A3B1A0A4AE}"/>
    <cellStyle name="40% - Accent2 2 3 3 4" xfId="9616" xr:uid="{DBC3FF6F-C328-4A7F-AD37-BA82CA7A9036}"/>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FCFEA9A6-96B9-4859-9233-EA76E6C6944F}"/>
    <cellStyle name="40% - Accent2 2 3 4 2 3" xfId="12174" xr:uid="{CE2A3FAB-3B1D-4F11-AC1E-2C381CB2F147}"/>
    <cellStyle name="40% - Accent2 2 3 4 3" xfId="5805" xr:uid="{00000000-0005-0000-0000-000097040000}"/>
    <cellStyle name="40% - Accent2 2 3 4 3 2" xfId="14247" xr:uid="{EF60F7C5-7324-48F9-883C-6D7213BFC128}"/>
    <cellStyle name="40% - Accent2 2 3 4 4" xfId="10029" xr:uid="{EFE0E1A7-423F-4F74-BB5B-CB1361C5A6C2}"/>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873E8450-AEC8-4AE3-9399-2CD21B6C70D2}"/>
    <cellStyle name="40% - Accent2 2 3 5 2 3" xfId="12587" xr:uid="{7C012749-1647-4EDD-82C7-B048BD469723}"/>
    <cellStyle name="40% - Accent2 2 3 5 3" xfId="6218" xr:uid="{00000000-0005-0000-0000-00009B040000}"/>
    <cellStyle name="40% - Accent2 2 3 5 3 2" xfId="14660" xr:uid="{259A372D-2F7E-42C4-9C4E-EB93C54A6537}"/>
    <cellStyle name="40% - Accent2 2 3 5 4" xfId="10442" xr:uid="{0738D2B5-E3C1-40B9-A63B-E5D10E53D966}"/>
    <cellStyle name="40% - Accent2 2 3 6" xfId="2324" xr:uid="{00000000-0005-0000-0000-00009C040000}"/>
    <cellStyle name="40% - Accent2 2 3 6 2" xfId="6631" xr:uid="{00000000-0005-0000-0000-00009D040000}"/>
    <cellStyle name="40% - Accent2 2 3 6 2 2" xfId="15073" xr:uid="{F6A1B398-F0FE-4160-AC6B-B1F99ACFEEBB}"/>
    <cellStyle name="40% - Accent2 2 3 6 3" xfId="10855" xr:uid="{010F40CF-0EF1-471C-A3C9-E8490D68B971}"/>
    <cellStyle name="40% - Accent2 2 3 7" xfId="4565" xr:uid="{00000000-0005-0000-0000-00009E040000}"/>
    <cellStyle name="40% - Accent2 2 3 7 2" xfId="13007" xr:uid="{9F35BFD5-19E9-496D-A3A3-2C3B4CCA5FFB}"/>
    <cellStyle name="40% - Accent2 2 3 8" xfId="8789" xr:uid="{6C5B7AAD-D5CD-4C03-AE94-F44FE5FB2B81}"/>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368E07C5-2670-46AD-BA6E-E311D8C33AFC}"/>
    <cellStyle name="40% - Accent2 2 4 2 3" xfId="11345" xr:uid="{2C307807-E825-48A4-988C-364D932D138C}"/>
    <cellStyle name="40% - Accent2 2 4 3" xfId="4976" xr:uid="{00000000-0005-0000-0000-0000A2040000}"/>
    <cellStyle name="40% - Accent2 2 4 3 2" xfId="13418" xr:uid="{7D46C830-B070-4907-B8AE-FA4D7F4A1859}"/>
    <cellStyle name="40% - Accent2 2 4 4" xfId="9200" xr:uid="{3E1968BD-7607-4E9D-84E3-F5BDE16EBAFB}"/>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AB0BE31E-59ED-4E58-A001-E8D2360136AA}"/>
    <cellStyle name="40% - Accent2 2 5 2 3" xfId="11758" xr:uid="{4AC55C6B-E29C-4A22-8FE3-0C4E48840A4E}"/>
    <cellStyle name="40% - Accent2 2 5 3" xfId="5389" xr:uid="{00000000-0005-0000-0000-0000A6040000}"/>
    <cellStyle name="40% - Accent2 2 5 3 2" xfId="13831" xr:uid="{49C3AB31-0967-4268-A0DF-7FA3ED40F43D}"/>
    <cellStyle name="40% - Accent2 2 5 4" xfId="9613" xr:uid="{C457A293-DE7F-4291-B4C6-CF5CE4C71C5F}"/>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B58C1CC0-0B08-4AB6-B350-A0CE3ED7F850}"/>
    <cellStyle name="40% - Accent2 2 6 2 3" xfId="12171" xr:uid="{37F4FF06-723E-49C6-96FD-A1E6EC39FF08}"/>
    <cellStyle name="40% - Accent2 2 6 3" xfId="5802" xr:uid="{00000000-0005-0000-0000-0000AA040000}"/>
    <cellStyle name="40% - Accent2 2 6 3 2" xfId="14244" xr:uid="{9A6592D6-1E7C-46C9-B901-8C51FB8AF7FA}"/>
    <cellStyle name="40% - Accent2 2 6 4" xfId="10026" xr:uid="{674A0EE7-19E6-40DA-9D51-402B4B457D13}"/>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C1B07194-F449-431C-BB02-EE3B36480D4B}"/>
    <cellStyle name="40% - Accent2 2 7 2 3" xfId="12584" xr:uid="{E3270B1B-1600-46CE-8B09-DF99961C026F}"/>
    <cellStyle name="40% - Accent2 2 7 3" xfId="6215" xr:uid="{00000000-0005-0000-0000-0000AE040000}"/>
    <cellStyle name="40% - Accent2 2 7 3 2" xfId="14657" xr:uid="{D2597F02-409D-45FD-8AD1-3A892AB9FD01}"/>
    <cellStyle name="40% - Accent2 2 7 4" xfId="10439" xr:uid="{7993033C-D55D-4916-A03F-ED7BD471CA89}"/>
    <cellStyle name="40% - Accent2 2 8" xfId="2321" xr:uid="{00000000-0005-0000-0000-0000AF040000}"/>
    <cellStyle name="40% - Accent2 2 8 2" xfId="6628" xr:uid="{00000000-0005-0000-0000-0000B0040000}"/>
    <cellStyle name="40% - Accent2 2 8 2 2" xfId="15070" xr:uid="{B9B543D0-1734-48D0-A8B8-3A3E7CC05EF1}"/>
    <cellStyle name="40% - Accent2 2 8 3" xfId="10852" xr:uid="{F4D211E1-EF61-4E96-82D4-38079FA53400}"/>
    <cellStyle name="40% - Accent2 2 9" xfId="4562" xr:uid="{00000000-0005-0000-0000-0000B1040000}"/>
    <cellStyle name="40% - Accent2 2 9 2" xfId="13004" xr:uid="{EDD8CDDD-58A1-4DCD-A14B-956E2EF82F16}"/>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1E8E1FB4-9F61-4F04-AA51-3B6D5890F578}"/>
    <cellStyle name="40% - Accent2 3 2 2 2 3" xfId="11350" xr:uid="{5C315756-16DF-4336-AD73-2B5CA3CF3EC9}"/>
    <cellStyle name="40% - Accent2 3 2 2 3" xfId="4981" xr:uid="{00000000-0005-0000-0000-0000B7040000}"/>
    <cellStyle name="40% - Accent2 3 2 2 3 2" xfId="13423" xr:uid="{4F509AB7-494B-4D37-9C65-0B8FAD688565}"/>
    <cellStyle name="40% - Accent2 3 2 2 4" xfId="9205" xr:uid="{332D1562-B6D2-42C9-9D6A-B7643C30C59E}"/>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DC521503-B068-441E-B0ED-A1182447B690}"/>
    <cellStyle name="40% - Accent2 3 2 3 2 3" xfId="11763" xr:uid="{782C0463-D666-4955-8DDC-E24CD66207F9}"/>
    <cellStyle name="40% - Accent2 3 2 3 3" xfId="5394" xr:uid="{00000000-0005-0000-0000-0000BB040000}"/>
    <cellStyle name="40% - Accent2 3 2 3 3 2" xfId="13836" xr:uid="{9E4242FF-D68D-47C5-87F6-E6B6F40332FC}"/>
    <cellStyle name="40% - Accent2 3 2 3 4" xfId="9618" xr:uid="{D978BF90-6E9B-4908-A9A9-A27DC1A244F6}"/>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50CE0B5A-7B08-4869-9451-35CDFCB146B0}"/>
    <cellStyle name="40% - Accent2 3 2 4 2 3" xfId="12176" xr:uid="{DD6AD7A2-0C47-42B3-AA17-8FDE640EAEA9}"/>
    <cellStyle name="40% - Accent2 3 2 4 3" xfId="5807" xr:uid="{00000000-0005-0000-0000-0000BF040000}"/>
    <cellStyle name="40% - Accent2 3 2 4 3 2" xfId="14249" xr:uid="{ADF58D05-706E-49CF-973B-34092319BFEC}"/>
    <cellStyle name="40% - Accent2 3 2 4 4" xfId="10031" xr:uid="{8AE9430C-0E54-434F-A898-18E26C32E371}"/>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B702245D-BBFF-4792-9D2B-A411C52FCCED}"/>
    <cellStyle name="40% - Accent2 3 2 5 2 3" xfId="12589" xr:uid="{51AF96F8-253E-46B8-9A79-A2DE078137BA}"/>
    <cellStyle name="40% - Accent2 3 2 5 3" xfId="6220" xr:uid="{00000000-0005-0000-0000-0000C3040000}"/>
    <cellStyle name="40% - Accent2 3 2 5 3 2" xfId="14662" xr:uid="{6769BB33-1AA3-4504-BB8E-7DD08A447901}"/>
    <cellStyle name="40% - Accent2 3 2 5 4" xfId="10444" xr:uid="{816BA56C-001F-490C-AC22-D7B58A47E950}"/>
    <cellStyle name="40% - Accent2 3 2 6" xfId="2326" xr:uid="{00000000-0005-0000-0000-0000C4040000}"/>
    <cellStyle name="40% - Accent2 3 2 6 2" xfId="6633" xr:uid="{00000000-0005-0000-0000-0000C5040000}"/>
    <cellStyle name="40% - Accent2 3 2 6 2 2" xfId="15075" xr:uid="{4504ADE8-EA9E-4B3E-B857-B97D771E5162}"/>
    <cellStyle name="40% - Accent2 3 2 6 3" xfId="10857" xr:uid="{D058AD6F-87B8-4651-BB3B-8FDA8B3FE525}"/>
    <cellStyle name="40% - Accent2 3 2 7" xfId="4567" xr:uid="{00000000-0005-0000-0000-0000C6040000}"/>
    <cellStyle name="40% - Accent2 3 2 7 2" xfId="13009" xr:uid="{FC9D91F1-A046-4862-BF5A-4A2CFDDA6332}"/>
    <cellStyle name="40% - Accent2 3 2 8" xfId="8791" xr:uid="{3B240732-F457-4D10-B1D6-2320CD85C3A3}"/>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45BE67A4-B981-4780-BD54-3DA22130C334}"/>
    <cellStyle name="40% - Accent2 3 3 2 3" xfId="11349" xr:uid="{3B9DD81D-F7DB-4881-9003-570E3A67FDF1}"/>
    <cellStyle name="40% - Accent2 3 3 3" xfId="4980" xr:uid="{00000000-0005-0000-0000-0000CA040000}"/>
    <cellStyle name="40% - Accent2 3 3 3 2" xfId="13422" xr:uid="{C67CCC8D-9B93-40E1-8BA7-FBE2B8FA9768}"/>
    <cellStyle name="40% - Accent2 3 3 4" xfId="9204" xr:uid="{7913BFBA-6210-4314-879B-94EF234EB72F}"/>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BD19703B-01E9-4AAB-AC47-01F36B74841E}"/>
    <cellStyle name="40% - Accent2 3 4 2 3" xfId="11762" xr:uid="{9A176E5A-A35E-483D-889D-9CAB79A1FE37}"/>
    <cellStyle name="40% - Accent2 3 4 3" xfId="5393" xr:uid="{00000000-0005-0000-0000-0000CE040000}"/>
    <cellStyle name="40% - Accent2 3 4 3 2" xfId="13835" xr:uid="{92567C42-B7BE-4F6B-BAA3-D4A9BAE5DA67}"/>
    <cellStyle name="40% - Accent2 3 4 4" xfId="9617" xr:uid="{5006BA39-1F9E-4F3D-974D-BE5BFB853374}"/>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F37B0D38-90A7-4860-BF47-0802302946B9}"/>
    <cellStyle name="40% - Accent2 3 5 2 3" xfId="12175" xr:uid="{2A305857-755D-4D10-8340-4FCF1D84FE32}"/>
    <cellStyle name="40% - Accent2 3 5 3" xfId="5806" xr:uid="{00000000-0005-0000-0000-0000D2040000}"/>
    <cellStyle name="40% - Accent2 3 5 3 2" xfId="14248" xr:uid="{4999D676-2D21-4392-9F29-46B24672D5B6}"/>
    <cellStyle name="40% - Accent2 3 5 4" xfId="10030" xr:uid="{BAD2DBE8-7805-4CD4-B226-67CA2227EA17}"/>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DDAEACA3-AB31-405E-9B05-5B5B3A4497A0}"/>
    <cellStyle name="40% - Accent2 3 6 2 3" xfId="12588" xr:uid="{5EB81D11-FD74-4356-A9EA-F5064296F342}"/>
    <cellStyle name="40% - Accent2 3 6 3" xfId="6219" xr:uid="{00000000-0005-0000-0000-0000D6040000}"/>
    <cellStyle name="40% - Accent2 3 6 3 2" xfId="14661" xr:uid="{811EF6DC-7A72-4AC6-9ECA-D10B1B504C4B}"/>
    <cellStyle name="40% - Accent2 3 6 4" xfId="10443" xr:uid="{0A900AD4-4AE3-4CDD-9C4E-E74E4BEB281F}"/>
    <cellStyle name="40% - Accent2 3 7" xfId="2325" xr:uid="{00000000-0005-0000-0000-0000D7040000}"/>
    <cellStyle name="40% - Accent2 3 7 2" xfId="6632" xr:uid="{00000000-0005-0000-0000-0000D8040000}"/>
    <cellStyle name="40% - Accent2 3 7 2 2" xfId="15074" xr:uid="{3F8A72AD-1A4D-4D2C-B61C-33FDDD92A629}"/>
    <cellStyle name="40% - Accent2 3 7 3" xfId="10856" xr:uid="{3E79E799-481C-4D69-AB12-681CA3D5B096}"/>
    <cellStyle name="40% - Accent2 3 8" xfId="4566" xr:uid="{00000000-0005-0000-0000-0000D9040000}"/>
    <cellStyle name="40% - Accent2 3 8 2" xfId="13008" xr:uid="{543A2C90-31C0-40C3-8387-CFD6B326475F}"/>
    <cellStyle name="40% - Accent2 3 9" xfId="8790" xr:uid="{7DC594FD-22D5-4340-A4B7-0E2C3A86D107}"/>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7B4413FC-DC4A-4CA6-80CC-8128520B7B06}"/>
    <cellStyle name="40% - Accent2 4 2 2 3" xfId="11351" xr:uid="{12059B26-5963-461E-8037-CB2AEBC23109}"/>
    <cellStyle name="40% - Accent2 4 2 3" xfId="4982" xr:uid="{00000000-0005-0000-0000-0000DE040000}"/>
    <cellStyle name="40% - Accent2 4 2 3 2" xfId="13424" xr:uid="{B7582D6C-C88F-4351-9921-0DF3FDC716BE}"/>
    <cellStyle name="40% - Accent2 4 2 4" xfId="9206" xr:uid="{A64ADE60-5AF9-4259-9BF7-A3955139BB13}"/>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08A8BDB7-6C11-4789-9248-5BA759140CDC}"/>
    <cellStyle name="40% - Accent2 4 3 2 3" xfId="11764" xr:uid="{71A8091C-1609-4725-BC4B-43EE1F618F99}"/>
    <cellStyle name="40% - Accent2 4 3 3" xfId="5395" xr:uid="{00000000-0005-0000-0000-0000E2040000}"/>
    <cellStyle name="40% - Accent2 4 3 3 2" xfId="13837" xr:uid="{DF17643B-587C-4C0D-8B48-F650CC023FD0}"/>
    <cellStyle name="40% - Accent2 4 3 4" xfId="9619" xr:uid="{376BA2AC-139C-420D-88D0-03F5E487733B}"/>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E235B207-602B-4780-BA59-E1507255E461}"/>
    <cellStyle name="40% - Accent2 4 4 2 3" xfId="12177" xr:uid="{19842CA3-F54B-4718-ABC2-D5A3645ECD97}"/>
    <cellStyle name="40% - Accent2 4 4 3" xfId="5808" xr:uid="{00000000-0005-0000-0000-0000E6040000}"/>
    <cellStyle name="40% - Accent2 4 4 3 2" xfId="14250" xr:uid="{65E38A83-86A5-462A-B2EA-1D8410AF1BD7}"/>
    <cellStyle name="40% - Accent2 4 4 4" xfId="10032" xr:uid="{81B82D13-C5B0-4B51-82C8-0E3580EDBE61}"/>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76A272A2-0C56-40F4-ADC0-1ECCE5B17727}"/>
    <cellStyle name="40% - Accent2 4 5 2 3" xfId="12590" xr:uid="{5BC3A164-CD09-4A83-A7E9-545C9BC35BBC}"/>
    <cellStyle name="40% - Accent2 4 5 3" xfId="6221" xr:uid="{00000000-0005-0000-0000-0000EA040000}"/>
    <cellStyle name="40% - Accent2 4 5 3 2" xfId="14663" xr:uid="{CE28E7D8-0A09-4164-9A45-2537DD7AF1D4}"/>
    <cellStyle name="40% - Accent2 4 5 4" xfId="10445" xr:uid="{3100139A-0C9D-4317-A1C3-CCCEADD185B9}"/>
    <cellStyle name="40% - Accent2 4 6" xfId="2327" xr:uid="{00000000-0005-0000-0000-0000EB040000}"/>
    <cellStyle name="40% - Accent2 4 6 2" xfId="6634" xr:uid="{00000000-0005-0000-0000-0000EC040000}"/>
    <cellStyle name="40% - Accent2 4 6 2 2" xfId="15076" xr:uid="{A9463A73-453D-4CA5-A1A1-20035789D481}"/>
    <cellStyle name="40% - Accent2 4 6 3" xfId="10858" xr:uid="{51D109EB-0E7E-4C31-9B78-762B6CDF95BF}"/>
    <cellStyle name="40% - Accent2 4 7" xfId="4568" xr:uid="{00000000-0005-0000-0000-0000ED040000}"/>
    <cellStyle name="40% - Accent2 4 7 2" xfId="13010" xr:uid="{A4114A82-7130-4957-8D86-E699258B50B7}"/>
    <cellStyle name="40% - Accent2 4 8" xfId="8792" xr:uid="{D7B5F484-A07A-4B72-8F39-A42EF4AD4C95}"/>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394D7BE0-8973-4C8B-99CA-C9C96685A24D}"/>
    <cellStyle name="40% - Accent2 5 2 3" xfId="11344" xr:uid="{E8D641D0-59EA-4FB4-B710-AECE390AF9C8}"/>
    <cellStyle name="40% - Accent2 5 3" xfId="4975" xr:uid="{00000000-0005-0000-0000-0000F1040000}"/>
    <cellStyle name="40% - Accent2 5 3 2" xfId="13417" xr:uid="{4239A888-EEC9-4CDF-947C-1A31E77789EF}"/>
    <cellStyle name="40% - Accent2 5 4" xfId="9199" xr:uid="{8E900555-E7DA-4979-BC76-C2C68F4C316E}"/>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A725BE18-45C5-4EEB-897C-309D79991DB8}"/>
    <cellStyle name="40% - Accent2 6 2 3" xfId="11757" xr:uid="{3196A751-D128-49C5-9E2A-D6FB5EC15111}"/>
    <cellStyle name="40% - Accent2 6 3" xfId="5388" xr:uid="{00000000-0005-0000-0000-0000F5040000}"/>
    <cellStyle name="40% - Accent2 6 3 2" xfId="13830" xr:uid="{8AF0C6D9-587A-4E41-8DBC-762C1FF94C28}"/>
    <cellStyle name="40% - Accent2 6 4" xfId="9612" xr:uid="{335DF89A-9742-4ADD-B237-33A4AE57E740}"/>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8EF606B8-7B28-4D80-A837-CC7A33FEB9D4}"/>
    <cellStyle name="40% - Accent2 7 2 3" xfId="12170" xr:uid="{BD9F8BF8-7A83-4340-8C58-2BD069467C4C}"/>
    <cellStyle name="40% - Accent2 7 3" xfId="5801" xr:uid="{00000000-0005-0000-0000-0000F9040000}"/>
    <cellStyle name="40% - Accent2 7 3 2" xfId="14243" xr:uid="{87892DB7-14FE-4583-82EF-2F8B3F04B0E9}"/>
    <cellStyle name="40% - Accent2 7 4" xfId="10025" xr:uid="{25DBA5D5-CC98-40B9-AB78-E7FEBB06FDBB}"/>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7A53FD47-6934-4CE7-B1E0-886E56926E4E}"/>
    <cellStyle name="40% - Accent2 8 2 3" xfId="12583" xr:uid="{292B71C5-6F35-4E96-9C9B-8AFC5D84BF3B}"/>
    <cellStyle name="40% - Accent2 8 3" xfId="6214" xr:uid="{00000000-0005-0000-0000-0000FD040000}"/>
    <cellStyle name="40% - Accent2 8 3 2" xfId="14656" xr:uid="{1EDEE4AF-6241-46CA-8764-0295DAE76EDA}"/>
    <cellStyle name="40% - Accent2 8 4" xfId="10438" xr:uid="{0DC8B120-77C5-4155-8C1C-11CA74523DA2}"/>
    <cellStyle name="40% - Accent2 9" xfId="2320" xr:uid="{00000000-0005-0000-0000-0000FE040000}"/>
    <cellStyle name="40% - Accent2 9 2" xfId="6627" xr:uid="{00000000-0005-0000-0000-0000FF040000}"/>
    <cellStyle name="40% - Accent2 9 2 2" xfId="15069" xr:uid="{E5BEC55A-E012-46AE-B21B-C20F6BBB3901}"/>
    <cellStyle name="40% - Accent2 9 3" xfId="10851" xr:uid="{77C6DBCB-962B-4AAF-956F-76E4CCC886B8}"/>
    <cellStyle name="40% - Accent3" xfId="65" builtinId="39" customBuiltin="1"/>
    <cellStyle name="40% - Accent3 10" xfId="4569" xr:uid="{00000000-0005-0000-0000-000001050000}"/>
    <cellStyle name="40% - Accent3 10 2" xfId="13011" xr:uid="{A8A6220D-AF87-4DA6-A062-7CD1245C571B}"/>
    <cellStyle name="40% - Accent3 11" xfId="8793" xr:uid="{C285658E-564E-4D41-B9A8-3906A47AC59C}"/>
    <cellStyle name="40% - Accent3 2" xfId="66" xr:uid="{00000000-0005-0000-0000-000002050000}"/>
    <cellStyle name="40% - Accent3 2 10" xfId="8794" xr:uid="{62E9B1F8-3BA7-4387-A2B5-3E439B3F78C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0EB7AB47-BC4F-4843-B9D9-190A71CD4567}"/>
    <cellStyle name="40% - Accent3 2 2 2 2 2 3" xfId="11355" xr:uid="{85C6F188-AB9F-418D-A6BE-EA3C3ED26DFB}"/>
    <cellStyle name="40% - Accent3 2 2 2 2 3" xfId="4986" xr:uid="{00000000-0005-0000-0000-000008050000}"/>
    <cellStyle name="40% - Accent3 2 2 2 2 3 2" xfId="13428" xr:uid="{3E514A48-6F12-4037-AC18-1A8E40752452}"/>
    <cellStyle name="40% - Accent3 2 2 2 2 4" xfId="9210" xr:uid="{47ED21A1-F379-47DB-9DE4-595949F2D333}"/>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B508E678-4858-4B8E-AB96-C7C736629C51}"/>
    <cellStyle name="40% - Accent3 2 2 2 3 2 3" xfId="11768" xr:uid="{3B5D939D-9863-4B94-80A0-57A1188BA126}"/>
    <cellStyle name="40% - Accent3 2 2 2 3 3" xfId="5399" xr:uid="{00000000-0005-0000-0000-00000C050000}"/>
    <cellStyle name="40% - Accent3 2 2 2 3 3 2" xfId="13841" xr:uid="{83EAA2DD-7FE3-474D-8257-6E1417CCFE0B}"/>
    <cellStyle name="40% - Accent3 2 2 2 3 4" xfId="9623" xr:uid="{B3C6F5E4-469F-4BDB-9B51-81A2A69F8CDA}"/>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AA8F82E2-9857-4AC1-A311-5073B730A109}"/>
    <cellStyle name="40% - Accent3 2 2 2 4 2 3" xfId="12181" xr:uid="{9C26EB45-C83E-44CF-98EF-30327E867C9C}"/>
    <cellStyle name="40% - Accent3 2 2 2 4 3" xfId="5812" xr:uid="{00000000-0005-0000-0000-000010050000}"/>
    <cellStyle name="40% - Accent3 2 2 2 4 3 2" xfId="14254" xr:uid="{B89B3901-DD57-4EEB-8750-C7691FD5191F}"/>
    <cellStyle name="40% - Accent3 2 2 2 4 4" xfId="10036" xr:uid="{49BF77E6-B62D-4B2D-8394-8B8CFD17AE6A}"/>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9B452364-EC35-4698-A39E-B4602943C17A}"/>
    <cellStyle name="40% - Accent3 2 2 2 5 2 3" xfId="12594" xr:uid="{A1A63D3E-F3E9-493E-9DE8-56791A0DC74F}"/>
    <cellStyle name="40% - Accent3 2 2 2 5 3" xfId="6225" xr:uid="{00000000-0005-0000-0000-000014050000}"/>
    <cellStyle name="40% - Accent3 2 2 2 5 3 2" xfId="14667" xr:uid="{57EB184F-FA36-46EF-ADFC-674870C78F56}"/>
    <cellStyle name="40% - Accent3 2 2 2 5 4" xfId="10449" xr:uid="{6755EEE7-E108-4EB8-84C6-001E75D26690}"/>
    <cellStyle name="40% - Accent3 2 2 2 6" xfId="2331" xr:uid="{00000000-0005-0000-0000-000015050000}"/>
    <cellStyle name="40% - Accent3 2 2 2 6 2" xfId="6638" xr:uid="{00000000-0005-0000-0000-000016050000}"/>
    <cellStyle name="40% - Accent3 2 2 2 6 2 2" xfId="15080" xr:uid="{F7DBF3DD-333D-4135-A12E-6F599D5B38FD}"/>
    <cellStyle name="40% - Accent3 2 2 2 6 3" xfId="10862" xr:uid="{34034882-D88A-4F47-81D0-299DA15C2A21}"/>
    <cellStyle name="40% - Accent3 2 2 2 7" xfId="4572" xr:uid="{00000000-0005-0000-0000-000017050000}"/>
    <cellStyle name="40% - Accent3 2 2 2 7 2" xfId="13014" xr:uid="{E7B25A24-6C86-4C4E-A40E-E0EB5BD0A672}"/>
    <cellStyle name="40% - Accent3 2 2 2 8" xfId="8796" xr:uid="{5D4F70D3-FAD1-4E13-BF19-DE6FD9F585A9}"/>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03727C94-60A1-479B-BB95-85A5427057E0}"/>
    <cellStyle name="40% - Accent3 2 2 3 2 3" xfId="11354" xr:uid="{654C2897-2399-4631-83F8-5B90F032E36B}"/>
    <cellStyle name="40% - Accent3 2 2 3 3" xfId="4985" xr:uid="{00000000-0005-0000-0000-00001B050000}"/>
    <cellStyle name="40% - Accent3 2 2 3 3 2" xfId="13427" xr:uid="{F215F719-1B5C-4183-8E80-090B766763FB}"/>
    <cellStyle name="40% - Accent3 2 2 3 4" xfId="9209" xr:uid="{C576EA4F-07F3-452E-BBF3-9778EE7720E3}"/>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E98A5C62-B767-4E2D-9B84-A3E460C16535}"/>
    <cellStyle name="40% - Accent3 2 2 4 2 3" xfId="11767" xr:uid="{0B71219A-4197-4FCF-BB4E-455900038DFF}"/>
    <cellStyle name="40% - Accent3 2 2 4 3" xfId="5398" xr:uid="{00000000-0005-0000-0000-00001F050000}"/>
    <cellStyle name="40% - Accent3 2 2 4 3 2" xfId="13840" xr:uid="{A8A48494-B51C-4590-9348-AC31AFA4BF51}"/>
    <cellStyle name="40% - Accent3 2 2 4 4" xfId="9622" xr:uid="{F73E62E8-E01B-45F0-9413-E72D310CCD08}"/>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FA8D3231-651F-488C-ACE8-39AE722C0FBC}"/>
    <cellStyle name="40% - Accent3 2 2 5 2 3" xfId="12180" xr:uid="{A7BA049D-662E-40A9-80B9-5B328C8A208B}"/>
    <cellStyle name="40% - Accent3 2 2 5 3" xfId="5811" xr:uid="{00000000-0005-0000-0000-000023050000}"/>
    <cellStyle name="40% - Accent3 2 2 5 3 2" xfId="14253" xr:uid="{3167D62B-B1A2-4541-BFB4-2ADB023547C3}"/>
    <cellStyle name="40% - Accent3 2 2 5 4" xfId="10035" xr:uid="{AE4CCF07-1464-4F13-9730-4E481C845B04}"/>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6A7E49C3-4282-4D6F-9A20-5657BA54DFF9}"/>
    <cellStyle name="40% - Accent3 2 2 6 2 3" xfId="12593" xr:uid="{1FA8F2A3-FAC0-44C5-9693-0E3C7B27ECA2}"/>
    <cellStyle name="40% - Accent3 2 2 6 3" xfId="6224" xr:uid="{00000000-0005-0000-0000-000027050000}"/>
    <cellStyle name="40% - Accent3 2 2 6 3 2" xfId="14666" xr:uid="{D7AD3985-C829-44AC-B98E-A3D5868016FA}"/>
    <cellStyle name="40% - Accent3 2 2 6 4" xfId="10448" xr:uid="{04842264-5B61-4518-9D9B-4155A0A72417}"/>
    <cellStyle name="40% - Accent3 2 2 7" xfId="2330" xr:uid="{00000000-0005-0000-0000-000028050000}"/>
    <cellStyle name="40% - Accent3 2 2 7 2" xfId="6637" xr:uid="{00000000-0005-0000-0000-000029050000}"/>
    <cellStyle name="40% - Accent3 2 2 7 2 2" xfId="15079" xr:uid="{59D74A82-2891-45C4-8F37-72AB4573BF7D}"/>
    <cellStyle name="40% - Accent3 2 2 7 3" xfId="10861" xr:uid="{CB39B207-FB5F-410A-8AEF-5DE1039C0A17}"/>
    <cellStyle name="40% - Accent3 2 2 8" xfId="4571" xr:uid="{00000000-0005-0000-0000-00002A050000}"/>
    <cellStyle name="40% - Accent3 2 2 8 2" xfId="13013" xr:uid="{21AD95A9-3C31-4D9E-957E-E8AB3BCBCBF1}"/>
    <cellStyle name="40% - Accent3 2 2 9" xfId="8795" xr:uid="{476BA574-4DD0-455E-BD51-7E5F9E2A41D4}"/>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CD38E95D-2290-401B-8B6A-BA7178939EA3}"/>
    <cellStyle name="40% - Accent3 2 3 2 2 3" xfId="11356" xr:uid="{BFDF17B0-AD9C-420E-9B83-C6C6E7B2D637}"/>
    <cellStyle name="40% - Accent3 2 3 2 3" xfId="4987" xr:uid="{00000000-0005-0000-0000-00002F050000}"/>
    <cellStyle name="40% - Accent3 2 3 2 3 2" xfId="13429" xr:uid="{8F26A0FF-E04F-4AF5-8FE8-C1A269E738C2}"/>
    <cellStyle name="40% - Accent3 2 3 2 4" xfId="9211" xr:uid="{E94F4EBB-2CC5-4F87-8935-C0667069EAA8}"/>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71701498-A19E-4CD6-967F-1FC82728AAA5}"/>
    <cellStyle name="40% - Accent3 2 3 3 2 3" xfId="11769" xr:uid="{A7268F9D-29FB-4870-A45A-E38C6BE20BC6}"/>
    <cellStyle name="40% - Accent3 2 3 3 3" xfId="5400" xr:uid="{00000000-0005-0000-0000-000033050000}"/>
    <cellStyle name="40% - Accent3 2 3 3 3 2" xfId="13842" xr:uid="{7A7D6AC1-ABBB-493C-985F-4A2CD6DCAD13}"/>
    <cellStyle name="40% - Accent3 2 3 3 4" xfId="9624" xr:uid="{01C7B2FC-A678-49FA-9244-FEAA60BD8BA9}"/>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540F31AC-0F80-44EE-9A99-342C4AEE976B}"/>
    <cellStyle name="40% - Accent3 2 3 4 2 3" xfId="12182" xr:uid="{107178BF-C9E7-47D1-87D4-7472BC0E8039}"/>
    <cellStyle name="40% - Accent3 2 3 4 3" xfId="5813" xr:uid="{00000000-0005-0000-0000-000037050000}"/>
    <cellStyle name="40% - Accent3 2 3 4 3 2" xfId="14255" xr:uid="{2697675F-6C6C-43A6-8931-3CCA258800FD}"/>
    <cellStyle name="40% - Accent3 2 3 4 4" xfId="10037" xr:uid="{91F0B044-41E5-4A9C-B16A-44D7A477FD07}"/>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82516C1B-13A6-427B-9CC2-A9499F884A14}"/>
    <cellStyle name="40% - Accent3 2 3 5 2 3" xfId="12595" xr:uid="{88C61D2D-8CA6-4771-BE18-711A2537234C}"/>
    <cellStyle name="40% - Accent3 2 3 5 3" xfId="6226" xr:uid="{00000000-0005-0000-0000-00003B050000}"/>
    <cellStyle name="40% - Accent3 2 3 5 3 2" xfId="14668" xr:uid="{B61B33F8-0A9D-4246-8BF3-700BD22F400E}"/>
    <cellStyle name="40% - Accent3 2 3 5 4" xfId="10450" xr:uid="{FAF01611-59B3-45FB-8C73-50B729FF8828}"/>
    <cellStyle name="40% - Accent3 2 3 6" xfId="2332" xr:uid="{00000000-0005-0000-0000-00003C050000}"/>
    <cellStyle name="40% - Accent3 2 3 6 2" xfId="6639" xr:uid="{00000000-0005-0000-0000-00003D050000}"/>
    <cellStyle name="40% - Accent3 2 3 6 2 2" xfId="15081" xr:uid="{C67E7250-CA9D-43BC-9816-04D6644BF71E}"/>
    <cellStyle name="40% - Accent3 2 3 6 3" xfId="10863" xr:uid="{45286578-4D28-47E9-A4B5-6716349F48CF}"/>
    <cellStyle name="40% - Accent3 2 3 7" xfId="4573" xr:uid="{00000000-0005-0000-0000-00003E050000}"/>
    <cellStyle name="40% - Accent3 2 3 7 2" xfId="13015" xr:uid="{D88A05DE-0D93-427F-8B49-887483B52955}"/>
    <cellStyle name="40% - Accent3 2 3 8" xfId="8797" xr:uid="{3CC1B122-8291-49CC-AB24-E4B57E989935}"/>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90BCCEE9-5FA7-407F-8700-1C7CB5004BB2}"/>
    <cellStyle name="40% - Accent3 2 4 2 3" xfId="11353" xr:uid="{5C7763D5-6B8B-4FB6-8654-2ED9490CBE89}"/>
    <cellStyle name="40% - Accent3 2 4 3" xfId="4984" xr:uid="{00000000-0005-0000-0000-000042050000}"/>
    <cellStyle name="40% - Accent3 2 4 3 2" xfId="13426" xr:uid="{CFD2D666-8A9C-4FCD-B12E-436D0BCEBD7B}"/>
    <cellStyle name="40% - Accent3 2 4 4" xfId="9208" xr:uid="{F79CFD91-3B6A-4FB2-B637-C416B6A090ED}"/>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6B2A58F6-C76E-415F-A920-A5F86B8AEFA3}"/>
    <cellStyle name="40% - Accent3 2 5 2 3" xfId="11766" xr:uid="{6F6F99B1-E85F-4F9D-9802-9A806A9DE548}"/>
    <cellStyle name="40% - Accent3 2 5 3" xfId="5397" xr:uid="{00000000-0005-0000-0000-000046050000}"/>
    <cellStyle name="40% - Accent3 2 5 3 2" xfId="13839" xr:uid="{5D1200E5-3CD9-45E6-BDF8-7F0429858D09}"/>
    <cellStyle name="40% - Accent3 2 5 4" xfId="9621" xr:uid="{EF834C74-8B52-47A0-A4ED-F2F20744D9C7}"/>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463DEB71-F970-4E78-8EF7-B33CDEB20DB0}"/>
    <cellStyle name="40% - Accent3 2 6 2 3" xfId="12179" xr:uid="{4C97DDC5-893B-4D17-BF75-73899E6DAA91}"/>
    <cellStyle name="40% - Accent3 2 6 3" xfId="5810" xr:uid="{00000000-0005-0000-0000-00004A050000}"/>
    <cellStyle name="40% - Accent3 2 6 3 2" xfId="14252" xr:uid="{1B210535-6C50-426C-9826-95F7E3BDA8C7}"/>
    <cellStyle name="40% - Accent3 2 6 4" xfId="10034" xr:uid="{CCAC9780-0719-499A-BB3C-A42195C45553}"/>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97A20BA9-BE40-4D7C-BF92-AAF5E2BF2049}"/>
    <cellStyle name="40% - Accent3 2 7 2 3" xfId="12592" xr:uid="{7CD1FB11-1B0B-482A-BADB-B06AA77C5519}"/>
    <cellStyle name="40% - Accent3 2 7 3" xfId="6223" xr:uid="{00000000-0005-0000-0000-00004E050000}"/>
    <cellStyle name="40% - Accent3 2 7 3 2" xfId="14665" xr:uid="{0F87B292-75C7-424D-978E-0E4C7CF0019B}"/>
    <cellStyle name="40% - Accent3 2 7 4" xfId="10447" xr:uid="{C4438971-5F7D-40A2-BD4F-C8A83AE46108}"/>
    <cellStyle name="40% - Accent3 2 8" xfId="2329" xr:uid="{00000000-0005-0000-0000-00004F050000}"/>
    <cellStyle name="40% - Accent3 2 8 2" xfId="6636" xr:uid="{00000000-0005-0000-0000-000050050000}"/>
    <cellStyle name="40% - Accent3 2 8 2 2" xfId="15078" xr:uid="{AC27836D-2A31-4579-8596-3ABF6037D4B3}"/>
    <cellStyle name="40% - Accent3 2 8 3" xfId="10860" xr:uid="{446D8F0E-CEF2-474D-A04F-DC8999C837A2}"/>
    <cellStyle name="40% - Accent3 2 9" xfId="4570" xr:uid="{00000000-0005-0000-0000-000051050000}"/>
    <cellStyle name="40% - Accent3 2 9 2" xfId="13012" xr:uid="{52608882-91E9-41DA-BAEF-99C577D47B33}"/>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6F519EB6-E275-4603-94AC-4CFBCE7BE72D}"/>
    <cellStyle name="40% - Accent3 3 2 2 2 3" xfId="11358" xr:uid="{5C8137A3-6CC6-49B7-B9F4-5B922D00D793}"/>
    <cellStyle name="40% - Accent3 3 2 2 3" xfId="4989" xr:uid="{00000000-0005-0000-0000-000057050000}"/>
    <cellStyle name="40% - Accent3 3 2 2 3 2" xfId="13431" xr:uid="{A1352469-3E4F-4DE0-A49A-CBA9A83F9A59}"/>
    <cellStyle name="40% - Accent3 3 2 2 4" xfId="9213" xr:uid="{ED83DF5F-6E86-4EFD-AD77-70BCE66AA8A4}"/>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1C6CF206-2FAB-406C-B0FD-65EDE3073584}"/>
    <cellStyle name="40% - Accent3 3 2 3 2 3" xfId="11771" xr:uid="{8D5A1BCA-14DA-4EC4-B0A2-0F3B0B35A53D}"/>
    <cellStyle name="40% - Accent3 3 2 3 3" xfId="5402" xr:uid="{00000000-0005-0000-0000-00005B050000}"/>
    <cellStyle name="40% - Accent3 3 2 3 3 2" xfId="13844" xr:uid="{AF3D92DB-0F3B-4CEB-96F9-8024B3DE9285}"/>
    <cellStyle name="40% - Accent3 3 2 3 4" xfId="9626" xr:uid="{63C33003-3876-4B5C-A2FB-D4272BADDFD4}"/>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9AD7416F-47FC-4725-92F2-510CEC67BD28}"/>
    <cellStyle name="40% - Accent3 3 2 4 2 3" xfId="12184" xr:uid="{967D279A-20A9-49F0-A5D9-8E1D1FE6AE50}"/>
    <cellStyle name="40% - Accent3 3 2 4 3" xfId="5815" xr:uid="{00000000-0005-0000-0000-00005F050000}"/>
    <cellStyle name="40% - Accent3 3 2 4 3 2" xfId="14257" xr:uid="{B1719302-098B-4F41-A1BF-E038A44CE434}"/>
    <cellStyle name="40% - Accent3 3 2 4 4" xfId="10039" xr:uid="{FD54AB4B-0B17-4CE3-A79A-CED075E70C93}"/>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62A42B49-7B0F-4DFD-9A84-7CE654B37AC4}"/>
    <cellStyle name="40% - Accent3 3 2 5 2 3" xfId="12597" xr:uid="{9C42E89A-6BB4-4485-8541-BBA2DD74F86C}"/>
    <cellStyle name="40% - Accent3 3 2 5 3" xfId="6228" xr:uid="{00000000-0005-0000-0000-000063050000}"/>
    <cellStyle name="40% - Accent3 3 2 5 3 2" xfId="14670" xr:uid="{4B352742-63F9-43F0-AC99-8E3BAA014D2D}"/>
    <cellStyle name="40% - Accent3 3 2 5 4" xfId="10452" xr:uid="{71D18492-CBA0-406D-913A-0D0584F1C9BA}"/>
    <cellStyle name="40% - Accent3 3 2 6" xfId="2334" xr:uid="{00000000-0005-0000-0000-000064050000}"/>
    <cellStyle name="40% - Accent3 3 2 6 2" xfId="6641" xr:uid="{00000000-0005-0000-0000-000065050000}"/>
    <cellStyle name="40% - Accent3 3 2 6 2 2" xfId="15083" xr:uid="{8D15379D-392B-44BD-ADA4-56C9F98AB4C8}"/>
    <cellStyle name="40% - Accent3 3 2 6 3" xfId="10865" xr:uid="{EF55DE88-D66B-4528-AAE6-861714073A48}"/>
    <cellStyle name="40% - Accent3 3 2 7" xfId="4575" xr:uid="{00000000-0005-0000-0000-000066050000}"/>
    <cellStyle name="40% - Accent3 3 2 7 2" xfId="13017" xr:uid="{2F5E9495-B425-4278-A945-2050126D7C8A}"/>
    <cellStyle name="40% - Accent3 3 2 8" xfId="8799" xr:uid="{12E10D94-49CD-4160-9AE7-1FC984E58D5E}"/>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ABE46DD5-B741-42F6-9AE8-542AC6C73EA8}"/>
    <cellStyle name="40% - Accent3 3 3 2 3" xfId="11357" xr:uid="{BE9F542B-97DD-4009-85BD-0500357D608B}"/>
    <cellStyle name="40% - Accent3 3 3 3" xfId="4988" xr:uid="{00000000-0005-0000-0000-00006A050000}"/>
    <cellStyle name="40% - Accent3 3 3 3 2" xfId="13430" xr:uid="{A3313083-E592-4411-84EB-5BF16CECA0DE}"/>
    <cellStyle name="40% - Accent3 3 3 4" xfId="9212" xr:uid="{C5BCB769-C013-4B68-8664-B18B20E1771B}"/>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C10E4487-C92A-439C-81B8-577EC1101EED}"/>
    <cellStyle name="40% - Accent3 3 4 2 3" xfId="11770" xr:uid="{93016EAB-F017-4954-8B14-03D3C17D0F11}"/>
    <cellStyle name="40% - Accent3 3 4 3" xfId="5401" xr:uid="{00000000-0005-0000-0000-00006E050000}"/>
    <cellStyle name="40% - Accent3 3 4 3 2" xfId="13843" xr:uid="{11A672CA-3571-4914-88C7-ED09AE374DFE}"/>
    <cellStyle name="40% - Accent3 3 4 4" xfId="9625" xr:uid="{B0A8734D-A26B-4B72-8590-F986B53B8CC4}"/>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4ED24516-B89D-4BBF-A884-0408C1F604A5}"/>
    <cellStyle name="40% - Accent3 3 5 2 3" xfId="12183" xr:uid="{304CAE00-D720-4131-A62C-A5EEA16CD894}"/>
    <cellStyle name="40% - Accent3 3 5 3" xfId="5814" xr:uid="{00000000-0005-0000-0000-000072050000}"/>
    <cellStyle name="40% - Accent3 3 5 3 2" xfId="14256" xr:uid="{4AF49B05-EBA0-40F6-995C-51D738A27186}"/>
    <cellStyle name="40% - Accent3 3 5 4" xfId="10038" xr:uid="{35EF9913-D158-45CF-B2FD-8631D4925DBC}"/>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C969FF9E-19ED-40FF-AE5D-2BC0B3BC93EB}"/>
    <cellStyle name="40% - Accent3 3 6 2 3" xfId="12596" xr:uid="{2D9AFA04-C510-42A4-B23E-BAE555D12BBA}"/>
    <cellStyle name="40% - Accent3 3 6 3" xfId="6227" xr:uid="{00000000-0005-0000-0000-000076050000}"/>
    <cellStyle name="40% - Accent3 3 6 3 2" xfId="14669" xr:uid="{A1D64BAE-4055-4631-B4EE-74D63D9C8B63}"/>
    <cellStyle name="40% - Accent3 3 6 4" xfId="10451" xr:uid="{E6EFA080-AD8A-4D4E-87DC-0A91372C3B75}"/>
    <cellStyle name="40% - Accent3 3 7" xfId="2333" xr:uid="{00000000-0005-0000-0000-000077050000}"/>
    <cellStyle name="40% - Accent3 3 7 2" xfId="6640" xr:uid="{00000000-0005-0000-0000-000078050000}"/>
    <cellStyle name="40% - Accent3 3 7 2 2" xfId="15082" xr:uid="{EB780C42-6F5B-4642-B853-52D5630BF0DE}"/>
    <cellStyle name="40% - Accent3 3 7 3" xfId="10864" xr:uid="{7CA052E4-7B97-4BAC-95A2-798DCE6593CF}"/>
    <cellStyle name="40% - Accent3 3 8" xfId="4574" xr:uid="{00000000-0005-0000-0000-000079050000}"/>
    <cellStyle name="40% - Accent3 3 8 2" xfId="13016" xr:uid="{17573B57-AEDC-4D4C-842E-E60D86FB4154}"/>
    <cellStyle name="40% - Accent3 3 9" xfId="8798" xr:uid="{CE9FCB6A-272F-43ED-B283-00C99D77CD61}"/>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86A1C304-CFFB-4323-8BC8-F0C7DFFE78D6}"/>
    <cellStyle name="40% - Accent3 4 2 2 3" xfId="11359" xr:uid="{34491BF2-ACB0-49DF-A23A-9D8CD626DCAD}"/>
    <cellStyle name="40% - Accent3 4 2 3" xfId="4990" xr:uid="{00000000-0005-0000-0000-00007E050000}"/>
    <cellStyle name="40% - Accent3 4 2 3 2" xfId="13432" xr:uid="{7BD42E17-87BF-40A7-B935-23973251E126}"/>
    <cellStyle name="40% - Accent3 4 2 4" xfId="9214" xr:uid="{786B59E1-0C95-47DD-B0BB-BCD07CB72264}"/>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C154DADA-8E00-41A0-9E99-0C7DB4DADC32}"/>
    <cellStyle name="40% - Accent3 4 3 2 3" xfId="11772" xr:uid="{FD080BCF-ED87-4523-8224-3B58F5123FF1}"/>
    <cellStyle name="40% - Accent3 4 3 3" xfId="5403" xr:uid="{00000000-0005-0000-0000-000082050000}"/>
    <cellStyle name="40% - Accent3 4 3 3 2" xfId="13845" xr:uid="{906ED893-CAFF-46A6-B73F-A1558136177E}"/>
    <cellStyle name="40% - Accent3 4 3 4" xfId="9627" xr:uid="{F574EB12-CCB9-4E44-9CA8-F4E61FE825BF}"/>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6A88E50C-5B9A-401C-BF42-7320F646449C}"/>
    <cellStyle name="40% - Accent3 4 4 2 3" xfId="12185" xr:uid="{7DD8625C-804D-4DF2-B5EC-748D60230F58}"/>
    <cellStyle name="40% - Accent3 4 4 3" xfId="5816" xr:uid="{00000000-0005-0000-0000-000086050000}"/>
    <cellStyle name="40% - Accent3 4 4 3 2" xfId="14258" xr:uid="{065D1D47-4662-4720-98DB-CE6FAD459180}"/>
    <cellStyle name="40% - Accent3 4 4 4" xfId="10040" xr:uid="{869BA9BB-0414-470E-8F9C-436F396C47FE}"/>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C4F59C42-8B5F-4062-87F7-865D377ADD99}"/>
    <cellStyle name="40% - Accent3 4 5 2 3" xfId="12598" xr:uid="{A8E15D61-9F5B-4A09-8927-EFC326337A04}"/>
    <cellStyle name="40% - Accent3 4 5 3" xfId="6229" xr:uid="{00000000-0005-0000-0000-00008A050000}"/>
    <cellStyle name="40% - Accent3 4 5 3 2" xfId="14671" xr:uid="{0A718228-CA07-4A6B-B421-53C5B66FB648}"/>
    <cellStyle name="40% - Accent3 4 5 4" xfId="10453" xr:uid="{6E0D1EB6-49C9-430E-A122-32364F900576}"/>
    <cellStyle name="40% - Accent3 4 6" xfId="2335" xr:uid="{00000000-0005-0000-0000-00008B050000}"/>
    <cellStyle name="40% - Accent3 4 6 2" xfId="6642" xr:uid="{00000000-0005-0000-0000-00008C050000}"/>
    <cellStyle name="40% - Accent3 4 6 2 2" xfId="15084" xr:uid="{E66789C6-22DD-4330-BAC5-75D33566C709}"/>
    <cellStyle name="40% - Accent3 4 6 3" xfId="10866" xr:uid="{C9BBC838-72CA-4392-8B31-6F3A3CAA3741}"/>
    <cellStyle name="40% - Accent3 4 7" xfId="4576" xr:uid="{00000000-0005-0000-0000-00008D050000}"/>
    <cellStyle name="40% - Accent3 4 7 2" xfId="13018" xr:uid="{F8AEE090-8674-4FC6-A9E0-8A53544FB86D}"/>
    <cellStyle name="40% - Accent3 4 8" xfId="8800" xr:uid="{E21F796C-078B-477A-BD48-6EC661A8BAF1}"/>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B9E22FA2-76D4-4F5E-BE55-25A8D83762A1}"/>
    <cellStyle name="40% - Accent3 5 2 3" xfId="11352" xr:uid="{CE61B06A-D09E-4101-BFFE-0854A01040A2}"/>
    <cellStyle name="40% - Accent3 5 3" xfId="4983" xr:uid="{00000000-0005-0000-0000-000091050000}"/>
    <cellStyle name="40% - Accent3 5 3 2" xfId="13425" xr:uid="{4F2A0B36-0269-480A-AE84-342A11BBE1F9}"/>
    <cellStyle name="40% - Accent3 5 4" xfId="9207" xr:uid="{D4ED743B-A392-49BD-92D2-A6A5DC49845F}"/>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6CF67560-10B3-4126-9877-94299B275D19}"/>
    <cellStyle name="40% - Accent3 6 2 3" xfId="11765" xr:uid="{370519E4-1005-4A75-9AA8-A0A3ED948A49}"/>
    <cellStyle name="40% - Accent3 6 3" xfId="5396" xr:uid="{00000000-0005-0000-0000-000095050000}"/>
    <cellStyle name="40% - Accent3 6 3 2" xfId="13838" xr:uid="{62039293-7F6B-4046-851B-18B014B848D0}"/>
    <cellStyle name="40% - Accent3 6 4" xfId="9620" xr:uid="{A362ADD8-68C3-4869-88B2-72291E9145D9}"/>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A6ACB815-638D-4398-AB84-AD3EF5DE23EE}"/>
    <cellStyle name="40% - Accent3 7 2 3" xfId="12178" xr:uid="{9E32C69D-E41F-43C8-9A1B-F0D178356586}"/>
    <cellStyle name="40% - Accent3 7 3" xfId="5809" xr:uid="{00000000-0005-0000-0000-000099050000}"/>
    <cellStyle name="40% - Accent3 7 3 2" xfId="14251" xr:uid="{59ED25A4-5C1E-4C78-BD1D-179E0FF6D2CC}"/>
    <cellStyle name="40% - Accent3 7 4" xfId="10033" xr:uid="{F9F400E4-4EFB-41CC-86F8-6B7A3F3EF12A}"/>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67168EFE-025E-474F-98A0-DC312D1D879A}"/>
    <cellStyle name="40% - Accent3 8 2 3" xfId="12591" xr:uid="{FB0E1EF2-ACC4-4EA5-BDC4-641FEA4A6B8A}"/>
    <cellStyle name="40% - Accent3 8 3" xfId="6222" xr:uid="{00000000-0005-0000-0000-00009D050000}"/>
    <cellStyle name="40% - Accent3 8 3 2" xfId="14664" xr:uid="{1EFE348D-6CE8-493D-957B-629BAED7ADE6}"/>
    <cellStyle name="40% - Accent3 8 4" xfId="10446" xr:uid="{A982A79B-8E4A-4BBE-8E4D-E15F608000F7}"/>
    <cellStyle name="40% - Accent3 9" xfId="2328" xr:uid="{00000000-0005-0000-0000-00009E050000}"/>
    <cellStyle name="40% - Accent3 9 2" xfId="6635" xr:uid="{00000000-0005-0000-0000-00009F050000}"/>
    <cellStyle name="40% - Accent3 9 2 2" xfId="15077" xr:uid="{EF255C06-E88D-4F51-9D95-F3224F752D9C}"/>
    <cellStyle name="40% - Accent3 9 3" xfId="10859" xr:uid="{6BBFA1D4-D5C9-4EE4-9AB6-BBABE6731495}"/>
    <cellStyle name="40% - Accent4" xfId="73" builtinId="43" customBuiltin="1"/>
    <cellStyle name="40% - Accent4 10" xfId="4577" xr:uid="{00000000-0005-0000-0000-0000A1050000}"/>
    <cellStyle name="40% - Accent4 10 2" xfId="13019" xr:uid="{B5698C24-80D6-4D01-AEAB-599763C11DF4}"/>
    <cellStyle name="40% - Accent4 11" xfId="8801" xr:uid="{5733D942-35DF-4183-81AD-04734905F236}"/>
    <cellStyle name="40% - Accent4 2" xfId="74" xr:uid="{00000000-0005-0000-0000-0000A2050000}"/>
    <cellStyle name="40% - Accent4 2 10" xfId="8802" xr:uid="{AFEA1904-540D-45CB-B53D-A42FA0EED287}"/>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806E9430-4220-484D-A454-2EDB2C5DCCC9}"/>
    <cellStyle name="40% - Accent4 2 2 2 2 2 3" xfId="11363" xr:uid="{D487C464-2200-4816-8899-7979DEFA3E81}"/>
    <cellStyle name="40% - Accent4 2 2 2 2 3" xfId="4994" xr:uid="{00000000-0005-0000-0000-0000A8050000}"/>
    <cellStyle name="40% - Accent4 2 2 2 2 3 2" xfId="13436" xr:uid="{2C6383EE-F0B3-497F-830F-E400D0776E14}"/>
    <cellStyle name="40% - Accent4 2 2 2 2 4" xfId="9218" xr:uid="{77023A0D-B8C5-4290-A286-E7A232F31E4F}"/>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EF317DF6-50F7-4F58-B5BF-754A9D1CE3C8}"/>
    <cellStyle name="40% - Accent4 2 2 2 3 2 3" xfId="11776" xr:uid="{A5504C74-3DA4-4340-8438-574CCAD465CD}"/>
    <cellStyle name="40% - Accent4 2 2 2 3 3" xfId="5407" xr:uid="{00000000-0005-0000-0000-0000AC050000}"/>
    <cellStyle name="40% - Accent4 2 2 2 3 3 2" xfId="13849" xr:uid="{C2AB1A0C-C82A-4585-AE2F-6E230093FBDF}"/>
    <cellStyle name="40% - Accent4 2 2 2 3 4" xfId="9631" xr:uid="{1111F6DA-7A99-4131-8BA2-23310519CFC9}"/>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3CA3F261-0E75-4215-A4A4-F8D156A098B0}"/>
    <cellStyle name="40% - Accent4 2 2 2 4 2 3" xfId="12189" xr:uid="{E0CECBC9-CF2C-4840-8EA8-7907899DF08C}"/>
    <cellStyle name="40% - Accent4 2 2 2 4 3" xfId="5820" xr:uid="{00000000-0005-0000-0000-0000B0050000}"/>
    <cellStyle name="40% - Accent4 2 2 2 4 3 2" xfId="14262" xr:uid="{AD258671-52DC-4347-89E6-9842EA509D98}"/>
    <cellStyle name="40% - Accent4 2 2 2 4 4" xfId="10044" xr:uid="{A2DD1B1C-23EF-4C30-BD3D-0470650FF74D}"/>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A02C42A7-609A-4253-B9EA-316A3E92CD3E}"/>
    <cellStyle name="40% - Accent4 2 2 2 5 2 3" xfId="12602" xr:uid="{64B81302-7BBF-4906-9607-E91DE185E3FC}"/>
    <cellStyle name="40% - Accent4 2 2 2 5 3" xfId="6233" xr:uid="{00000000-0005-0000-0000-0000B4050000}"/>
    <cellStyle name="40% - Accent4 2 2 2 5 3 2" xfId="14675" xr:uid="{D39722C9-9FED-468C-B2CE-99187F4EDB2E}"/>
    <cellStyle name="40% - Accent4 2 2 2 5 4" xfId="10457" xr:uid="{D5CC5DCF-C6DE-4E71-81A5-15AF0D8600A7}"/>
    <cellStyle name="40% - Accent4 2 2 2 6" xfId="2339" xr:uid="{00000000-0005-0000-0000-0000B5050000}"/>
    <cellStyle name="40% - Accent4 2 2 2 6 2" xfId="6646" xr:uid="{00000000-0005-0000-0000-0000B6050000}"/>
    <cellStyle name="40% - Accent4 2 2 2 6 2 2" xfId="15088" xr:uid="{FD5C3AA9-32AA-425E-BE92-D707FF09720B}"/>
    <cellStyle name="40% - Accent4 2 2 2 6 3" xfId="10870" xr:uid="{B807C82F-905E-45EE-AA9D-38F0BF8BA4E8}"/>
    <cellStyle name="40% - Accent4 2 2 2 7" xfId="4580" xr:uid="{00000000-0005-0000-0000-0000B7050000}"/>
    <cellStyle name="40% - Accent4 2 2 2 7 2" xfId="13022" xr:uid="{C0D4F421-B5CD-4645-B71F-053717167A01}"/>
    <cellStyle name="40% - Accent4 2 2 2 8" xfId="8804" xr:uid="{36A23960-9469-4F61-AB59-9304AE4650BB}"/>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B29773B1-8103-4130-8F56-A0B565DF9111}"/>
    <cellStyle name="40% - Accent4 2 2 3 2 3" xfId="11362" xr:uid="{791BCC3C-52B3-42C4-9F73-0961D057FC0C}"/>
    <cellStyle name="40% - Accent4 2 2 3 3" xfId="4993" xr:uid="{00000000-0005-0000-0000-0000BB050000}"/>
    <cellStyle name="40% - Accent4 2 2 3 3 2" xfId="13435" xr:uid="{27C03322-F6CF-423D-886C-BE9651DB20D9}"/>
    <cellStyle name="40% - Accent4 2 2 3 4" xfId="9217" xr:uid="{87E1408C-D6C2-4447-A556-5F97643F599C}"/>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6721BCB5-77D4-4147-AEA7-7B41865AE3D7}"/>
    <cellStyle name="40% - Accent4 2 2 4 2 3" xfId="11775" xr:uid="{10E06455-23A6-43D5-ADE0-7DA6C1E8ED2A}"/>
    <cellStyle name="40% - Accent4 2 2 4 3" xfId="5406" xr:uid="{00000000-0005-0000-0000-0000BF050000}"/>
    <cellStyle name="40% - Accent4 2 2 4 3 2" xfId="13848" xr:uid="{37B80FA6-1022-48BF-B504-1681E3117C4B}"/>
    <cellStyle name="40% - Accent4 2 2 4 4" xfId="9630" xr:uid="{AF82161B-F958-4480-A888-6AD47F39EA57}"/>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6387990C-3B1C-425E-9DD8-6392394DBC71}"/>
    <cellStyle name="40% - Accent4 2 2 5 2 3" xfId="12188" xr:uid="{31107837-30B8-4356-9BD7-2ED636FDF3FB}"/>
    <cellStyle name="40% - Accent4 2 2 5 3" xfId="5819" xr:uid="{00000000-0005-0000-0000-0000C3050000}"/>
    <cellStyle name="40% - Accent4 2 2 5 3 2" xfId="14261" xr:uid="{01E39B15-0BF2-4944-AE76-4C2F3675C562}"/>
    <cellStyle name="40% - Accent4 2 2 5 4" xfId="10043" xr:uid="{BD3A1E40-D61F-46B8-A0F6-00A32CE0DC6B}"/>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9714E51B-6C95-4E17-AA08-5D32C43C1D1B}"/>
    <cellStyle name="40% - Accent4 2 2 6 2 3" xfId="12601" xr:uid="{5E645F6E-AE2E-4694-831E-FA3FC920A1E1}"/>
    <cellStyle name="40% - Accent4 2 2 6 3" xfId="6232" xr:uid="{00000000-0005-0000-0000-0000C7050000}"/>
    <cellStyle name="40% - Accent4 2 2 6 3 2" xfId="14674" xr:uid="{040AE1AF-A6C9-4476-8F75-836307066DDA}"/>
    <cellStyle name="40% - Accent4 2 2 6 4" xfId="10456" xr:uid="{5955DFBF-7D0C-4DEB-89E8-327AD6D28740}"/>
    <cellStyle name="40% - Accent4 2 2 7" xfId="2338" xr:uid="{00000000-0005-0000-0000-0000C8050000}"/>
    <cellStyle name="40% - Accent4 2 2 7 2" xfId="6645" xr:uid="{00000000-0005-0000-0000-0000C9050000}"/>
    <cellStyle name="40% - Accent4 2 2 7 2 2" xfId="15087" xr:uid="{78FDFCBF-64B9-4553-B784-23AD957DE533}"/>
    <cellStyle name="40% - Accent4 2 2 7 3" xfId="10869" xr:uid="{0D6BF23D-818D-4BFB-9112-D2040CFC0450}"/>
    <cellStyle name="40% - Accent4 2 2 8" xfId="4579" xr:uid="{00000000-0005-0000-0000-0000CA050000}"/>
    <cellStyle name="40% - Accent4 2 2 8 2" xfId="13021" xr:uid="{69A34A76-947C-4EA1-9059-CAD5F149B028}"/>
    <cellStyle name="40% - Accent4 2 2 9" xfId="8803" xr:uid="{772626A9-0E0E-40D7-8C64-9098E9F6DF9B}"/>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11AAF96C-15AA-4538-AD96-959CFCA3B41C}"/>
    <cellStyle name="40% - Accent4 2 3 2 2 3" xfId="11364" xr:uid="{A606D301-89FD-4686-A5EE-0DD30B7E6471}"/>
    <cellStyle name="40% - Accent4 2 3 2 3" xfId="4995" xr:uid="{00000000-0005-0000-0000-0000CF050000}"/>
    <cellStyle name="40% - Accent4 2 3 2 3 2" xfId="13437" xr:uid="{D2F834E3-E5FD-435F-88EE-38A7F1C00C6F}"/>
    <cellStyle name="40% - Accent4 2 3 2 4" xfId="9219" xr:uid="{C28EA4D0-6B38-4252-8C23-F0BA1DAE7635}"/>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E0AEDE08-5206-4466-B8D4-251D6CE10896}"/>
    <cellStyle name="40% - Accent4 2 3 3 2 3" xfId="11777" xr:uid="{FA1AA501-BD56-4662-B2E4-464714F50EBD}"/>
    <cellStyle name="40% - Accent4 2 3 3 3" xfId="5408" xr:uid="{00000000-0005-0000-0000-0000D3050000}"/>
    <cellStyle name="40% - Accent4 2 3 3 3 2" xfId="13850" xr:uid="{A97B6098-D18C-4966-BF0F-B13ABCC96D41}"/>
    <cellStyle name="40% - Accent4 2 3 3 4" xfId="9632" xr:uid="{F2C9E77A-AC08-4D95-AC8A-80645553BCB0}"/>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BF6C5ACC-2899-4AB2-BF8C-9639316C73A2}"/>
    <cellStyle name="40% - Accent4 2 3 4 2 3" xfId="12190" xr:uid="{D1323D23-16D8-4E64-AC81-0E61BCF13B3A}"/>
    <cellStyle name="40% - Accent4 2 3 4 3" xfId="5821" xr:uid="{00000000-0005-0000-0000-0000D7050000}"/>
    <cellStyle name="40% - Accent4 2 3 4 3 2" xfId="14263" xr:uid="{413FA05F-A59C-44FE-AAD6-B609D2036758}"/>
    <cellStyle name="40% - Accent4 2 3 4 4" xfId="10045" xr:uid="{8C0A0040-C296-47F9-BFE6-1C7290EC23CC}"/>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8827102B-0397-418A-A4B1-942CD194FF06}"/>
    <cellStyle name="40% - Accent4 2 3 5 2 3" xfId="12603" xr:uid="{2EB4D4E9-5206-4C90-9CD3-2213531EAB0F}"/>
    <cellStyle name="40% - Accent4 2 3 5 3" xfId="6234" xr:uid="{00000000-0005-0000-0000-0000DB050000}"/>
    <cellStyle name="40% - Accent4 2 3 5 3 2" xfId="14676" xr:uid="{18EE8F6D-7D73-4E05-853B-6D5E82CF75AA}"/>
    <cellStyle name="40% - Accent4 2 3 5 4" xfId="10458" xr:uid="{E82C8524-DD4E-4882-8BA3-CB68318CBB69}"/>
    <cellStyle name="40% - Accent4 2 3 6" xfId="2340" xr:uid="{00000000-0005-0000-0000-0000DC050000}"/>
    <cellStyle name="40% - Accent4 2 3 6 2" xfId="6647" xr:uid="{00000000-0005-0000-0000-0000DD050000}"/>
    <cellStyle name="40% - Accent4 2 3 6 2 2" xfId="15089" xr:uid="{E8411B8F-F47C-4935-B29A-6354544DAC8C}"/>
    <cellStyle name="40% - Accent4 2 3 6 3" xfId="10871" xr:uid="{C13F89BF-122E-4EA4-9F36-8EDE502CAA3A}"/>
    <cellStyle name="40% - Accent4 2 3 7" xfId="4581" xr:uid="{00000000-0005-0000-0000-0000DE050000}"/>
    <cellStyle name="40% - Accent4 2 3 7 2" xfId="13023" xr:uid="{9C4C4D31-CD41-49A8-9BCE-4AC4FF35CBFA}"/>
    <cellStyle name="40% - Accent4 2 3 8" xfId="8805" xr:uid="{50CA81F9-056F-44E6-AFD9-B0534B2EFFF8}"/>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44AE56CF-E64D-4622-BC29-12B4BB5F5BCA}"/>
    <cellStyle name="40% - Accent4 2 4 2 3" xfId="11361" xr:uid="{84B02098-C035-4030-94B8-F385685DFAC1}"/>
    <cellStyle name="40% - Accent4 2 4 3" xfId="4992" xr:uid="{00000000-0005-0000-0000-0000E2050000}"/>
    <cellStyle name="40% - Accent4 2 4 3 2" xfId="13434" xr:uid="{E260F075-26B8-4A01-86C5-C7A603F9AAF1}"/>
    <cellStyle name="40% - Accent4 2 4 4" xfId="9216" xr:uid="{D7FD4A24-0FF0-415F-BE41-2FAB2B889CB1}"/>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FBE33239-7D62-4882-9AE8-D1E109496105}"/>
    <cellStyle name="40% - Accent4 2 5 2 3" xfId="11774" xr:uid="{0EBA6D28-FA3F-46B4-BE65-3BD539D64487}"/>
    <cellStyle name="40% - Accent4 2 5 3" xfId="5405" xr:uid="{00000000-0005-0000-0000-0000E6050000}"/>
    <cellStyle name="40% - Accent4 2 5 3 2" xfId="13847" xr:uid="{A3008182-F57F-4615-A644-B7E4758131FA}"/>
    <cellStyle name="40% - Accent4 2 5 4" xfId="9629" xr:uid="{8734CB7F-A7B4-4228-92C2-51114CC76AA4}"/>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AD983386-BA93-4284-8989-1628A177C309}"/>
    <cellStyle name="40% - Accent4 2 6 2 3" xfId="12187" xr:uid="{CB3379E9-F7C2-4E34-B9D7-8829FDCEB295}"/>
    <cellStyle name="40% - Accent4 2 6 3" xfId="5818" xr:uid="{00000000-0005-0000-0000-0000EA050000}"/>
    <cellStyle name="40% - Accent4 2 6 3 2" xfId="14260" xr:uid="{F78AC3D1-354C-4820-B05B-BFE549078DF9}"/>
    <cellStyle name="40% - Accent4 2 6 4" xfId="10042" xr:uid="{7115BE83-2FD7-48CC-A13E-B3EF5CC03992}"/>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24D4D708-A3D2-417E-B0DA-B24678E07D51}"/>
    <cellStyle name="40% - Accent4 2 7 2 3" xfId="12600" xr:uid="{74CFCCF4-1B6A-4693-903D-840BF9FF3126}"/>
    <cellStyle name="40% - Accent4 2 7 3" xfId="6231" xr:uid="{00000000-0005-0000-0000-0000EE050000}"/>
    <cellStyle name="40% - Accent4 2 7 3 2" xfId="14673" xr:uid="{0D94587A-DA9F-4FF1-9222-65A42F68CD49}"/>
    <cellStyle name="40% - Accent4 2 7 4" xfId="10455" xr:uid="{AE431A0A-593D-4ADF-B4E0-311287F09885}"/>
    <cellStyle name="40% - Accent4 2 8" xfId="2337" xr:uid="{00000000-0005-0000-0000-0000EF050000}"/>
    <cellStyle name="40% - Accent4 2 8 2" xfId="6644" xr:uid="{00000000-0005-0000-0000-0000F0050000}"/>
    <cellStyle name="40% - Accent4 2 8 2 2" xfId="15086" xr:uid="{E8801A3E-4855-472C-A08B-D872756866C5}"/>
    <cellStyle name="40% - Accent4 2 8 3" xfId="10868" xr:uid="{7D0B7120-2355-4FF5-B039-CCFC8BF289B2}"/>
    <cellStyle name="40% - Accent4 2 9" xfId="4578" xr:uid="{00000000-0005-0000-0000-0000F1050000}"/>
    <cellStyle name="40% - Accent4 2 9 2" xfId="13020" xr:uid="{56BFB0EB-7B59-4001-9789-AA3F55B41315}"/>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69749FD2-29D9-49DF-91F9-0AE7D315A079}"/>
    <cellStyle name="40% - Accent4 3 2 2 2 3" xfId="11366" xr:uid="{D09B6235-688F-410E-A1D3-8588A0EC2B1A}"/>
    <cellStyle name="40% - Accent4 3 2 2 3" xfId="4997" xr:uid="{00000000-0005-0000-0000-0000F7050000}"/>
    <cellStyle name="40% - Accent4 3 2 2 3 2" xfId="13439" xr:uid="{087BFFA3-A75D-48B7-8F2E-29A48C45CF13}"/>
    <cellStyle name="40% - Accent4 3 2 2 4" xfId="9221" xr:uid="{C90B561F-7092-408B-8CA4-AC89E1E893CA}"/>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A5E3ECC9-1F6E-4CDF-86EC-658DF90BEB46}"/>
    <cellStyle name="40% - Accent4 3 2 3 2 3" xfId="11779" xr:uid="{91F55801-77A4-4D98-B8B3-E1D0751ECCF7}"/>
    <cellStyle name="40% - Accent4 3 2 3 3" xfId="5410" xr:uid="{00000000-0005-0000-0000-0000FB050000}"/>
    <cellStyle name="40% - Accent4 3 2 3 3 2" xfId="13852" xr:uid="{C5574F16-FA00-4B16-AB16-11B84D4FEC14}"/>
    <cellStyle name="40% - Accent4 3 2 3 4" xfId="9634" xr:uid="{93098623-09A0-4B22-9600-BF095EBF334E}"/>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FA1D59B4-A41F-47A3-A3D8-E465716791EE}"/>
    <cellStyle name="40% - Accent4 3 2 4 2 3" xfId="12192" xr:uid="{4AA3AD13-81AB-49F8-948C-65B2657EB6BB}"/>
    <cellStyle name="40% - Accent4 3 2 4 3" xfId="5823" xr:uid="{00000000-0005-0000-0000-0000FF050000}"/>
    <cellStyle name="40% - Accent4 3 2 4 3 2" xfId="14265" xr:uid="{6BB6EF16-14B5-4550-A7CD-1A8C310769E0}"/>
    <cellStyle name="40% - Accent4 3 2 4 4" xfId="10047" xr:uid="{2C923FE7-D2C4-4F7D-AD86-A115C93427DF}"/>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D263C610-B70D-437D-8C01-BFBFDFA95008}"/>
    <cellStyle name="40% - Accent4 3 2 5 2 3" xfId="12605" xr:uid="{B4AA430D-6A73-4040-A4BC-545907E7E7A7}"/>
    <cellStyle name="40% - Accent4 3 2 5 3" xfId="6236" xr:uid="{00000000-0005-0000-0000-000003060000}"/>
    <cellStyle name="40% - Accent4 3 2 5 3 2" xfId="14678" xr:uid="{5C7C89C1-D809-4D6B-8454-294506A95569}"/>
    <cellStyle name="40% - Accent4 3 2 5 4" xfId="10460" xr:uid="{184C700E-EA01-44EB-87ED-05407E1BCC1C}"/>
    <cellStyle name="40% - Accent4 3 2 6" xfId="2342" xr:uid="{00000000-0005-0000-0000-000004060000}"/>
    <cellStyle name="40% - Accent4 3 2 6 2" xfId="6649" xr:uid="{00000000-0005-0000-0000-000005060000}"/>
    <cellStyle name="40% - Accent4 3 2 6 2 2" xfId="15091" xr:uid="{56F0DF5D-D00D-4EB0-94A0-61FE085DD8B4}"/>
    <cellStyle name="40% - Accent4 3 2 6 3" xfId="10873" xr:uid="{E189C4E9-E41B-4508-A876-D32CB1058682}"/>
    <cellStyle name="40% - Accent4 3 2 7" xfId="4583" xr:uid="{00000000-0005-0000-0000-000006060000}"/>
    <cellStyle name="40% - Accent4 3 2 7 2" xfId="13025" xr:uid="{C8651AF9-372B-450F-9173-390AFBB9B4C6}"/>
    <cellStyle name="40% - Accent4 3 2 8" xfId="8807" xr:uid="{4E84459F-B8A2-42D8-90FB-1A843FCFB421}"/>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A20D26CC-EC19-4D10-8D61-63DC81342FE1}"/>
    <cellStyle name="40% - Accent4 3 3 2 3" xfId="11365" xr:uid="{8908FCD5-D6BC-4503-A7EB-DDE628FBE033}"/>
    <cellStyle name="40% - Accent4 3 3 3" xfId="4996" xr:uid="{00000000-0005-0000-0000-00000A060000}"/>
    <cellStyle name="40% - Accent4 3 3 3 2" xfId="13438" xr:uid="{9C8E7E83-24EA-4A7C-A7DD-7FDF115A72AF}"/>
    <cellStyle name="40% - Accent4 3 3 4" xfId="9220" xr:uid="{9040A315-3144-47E5-B5C5-8E2B87F711F0}"/>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47A952D8-B874-443F-9AF8-A9CAA16769D8}"/>
    <cellStyle name="40% - Accent4 3 4 2 3" xfId="11778" xr:uid="{B9087350-C238-4697-B43F-174FBBDE0762}"/>
    <cellStyle name="40% - Accent4 3 4 3" xfId="5409" xr:uid="{00000000-0005-0000-0000-00000E060000}"/>
    <cellStyle name="40% - Accent4 3 4 3 2" xfId="13851" xr:uid="{66D56157-6236-4C91-AAC5-9069217A4D4D}"/>
    <cellStyle name="40% - Accent4 3 4 4" xfId="9633" xr:uid="{6C42C08F-9C67-4794-8F21-A52F10F24359}"/>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1336F7DE-97CB-4A3A-A390-88EA27D925BA}"/>
    <cellStyle name="40% - Accent4 3 5 2 3" xfId="12191" xr:uid="{BE6103BC-3930-4A6A-8413-06C1BC510953}"/>
    <cellStyle name="40% - Accent4 3 5 3" xfId="5822" xr:uid="{00000000-0005-0000-0000-000012060000}"/>
    <cellStyle name="40% - Accent4 3 5 3 2" xfId="14264" xr:uid="{C8DE7505-7E4D-4BEF-8618-2836A2E3486E}"/>
    <cellStyle name="40% - Accent4 3 5 4" xfId="10046" xr:uid="{8C5EB485-6988-44E5-99F5-6D22F2EB469B}"/>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B9906170-367A-42F3-9F20-BD5BBF150A67}"/>
    <cellStyle name="40% - Accent4 3 6 2 3" xfId="12604" xr:uid="{D3AB0120-F4D4-4CB4-B38E-337F1CF8DF03}"/>
    <cellStyle name="40% - Accent4 3 6 3" xfId="6235" xr:uid="{00000000-0005-0000-0000-000016060000}"/>
    <cellStyle name="40% - Accent4 3 6 3 2" xfId="14677" xr:uid="{34503525-C2D9-4AD9-9FBD-E7D309418152}"/>
    <cellStyle name="40% - Accent4 3 6 4" xfId="10459" xr:uid="{4561E936-6D04-4F32-9D19-B97D61008A9C}"/>
    <cellStyle name="40% - Accent4 3 7" xfId="2341" xr:uid="{00000000-0005-0000-0000-000017060000}"/>
    <cellStyle name="40% - Accent4 3 7 2" xfId="6648" xr:uid="{00000000-0005-0000-0000-000018060000}"/>
    <cellStyle name="40% - Accent4 3 7 2 2" xfId="15090" xr:uid="{920C0F48-434D-477B-A6A0-E7A158CA1FC2}"/>
    <cellStyle name="40% - Accent4 3 7 3" xfId="10872" xr:uid="{96080F9E-CB52-4076-B5E7-E692AFC8F98E}"/>
    <cellStyle name="40% - Accent4 3 8" xfId="4582" xr:uid="{00000000-0005-0000-0000-000019060000}"/>
    <cellStyle name="40% - Accent4 3 8 2" xfId="13024" xr:uid="{89344C7F-5433-4976-83A4-51BB14CB9F49}"/>
    <cellStyle name="40% - Accent4 3 9" xfId="8806" xr:uid="{16F58DC1-E901-408F-9E1E-883637D8C1D6}"/>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A1AC9A52-6028-4808-8827-9E5533DA7E2B}"/>
    <cellStyle name="40% - Accent4 4 2 2 3" xfId="11367" xr:uid="{489416DE-FE8C-4E39-BF56-A014EB040D2A}"/>
    <cellStyle name="40% - Accent4 4 2 3" xfId="4998" xr:uid="{00000000-0005-0000-0000-00001E060000}"/>
    <cellStyle name="40% - Accent4 4 2 3 2" xfId="13440" xr:uid="{77CCBC6B-AB1A-4744-ABA8-6E700FFD9705}"/>
    <cellStyle name="40% - Accent4 4 2 4" xfId="9222" xr:uid="{D3F47FE0-A7E7-4B32-B06C-9712822C8FA8}"/>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3629C062-3289-4689-B82C-EC8C82FE37F8}"/>
    <cellStyle name="40% - Accent4 4 3 2 3" xfId="11780" xr:uid="{CB8476B7-8A2B-425A-BFC5-8626FE1169B2}"/>
    <cellStyle name="40% - Accent4 4 3 3" xfId="5411" xr:uid="{00000000-0005-0000-0000-000022060000}"/>
    <cellStyle name="40% - Accent4 4 3 3 2" xfId="13853" xr:uid="{B94BD093-FBA7-42B9-8143-3C9BC1C7E76E}"/>
    <cellStyle name="40% - Accent4 4 3 4" xfId="9635" xr:uid="{B0DCCF78-7948-4CE9-9893-FBDC5C0EF544}"/>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899DBF61-46FB-4A7B-987D-B7B6CA9C7626}"/>
    <cellStyle name="40% - Accent4 4 4 2 3" xfId="12193" xr:uid="{71362038-67F5-4F76-ADCA-7FBFC73063C9}"/>
    <cellStyle name="40% - Accent4 4 4 3" xfId="5824" xr:uid="{00000000-0005-0000-0000-000026060000}"/>
    <cellStyle name="40% - Accent4 4 4 3 2" xfId="14266" xr:uid="{E4E3E5AC-4A08-475E-B810-3C4540955466}"/>
    <cellStyle name="40% - Accent4 4 4 4" xfId="10048" xr:uid="{603B7340-34FA-481D-9412-AB833E07A9CF}"/>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D75195C9-76DE-436C-9B76-2E97397E4230}"/>
    <cellStyle name="40% - Accent4 4 5 2 3" xfId="12606" xr:uid="{CD166A50-177E-4096-95DE-046EFD413569}"/>
    <cellStyle name="40% - Accent4 4 5 3" xfId="6237" xr:uid="{00000000-0005-0000-0000-00002A060000}"/>
    <cellStyle name="40% - Accent4 4 5 3 2" xfId="14679" xr:uid="{BBE0B8B9-7FBB-44F6-A850-9448613C5828}"/>
    <cellStyle name="40% - Accent4 4 5 4" xfId="10461" xr:uid="{40362C53-809F-460A-A6CF-8C7F5AD2FA67}"/>
    <cellStyle name="40% - Accent4 4 6" xfId="2343" xr:uid="{00000000-0005-0000-0000-00002B060000}"/>
    <cellStyle name="40% - Accent4 4 6 2" xfId="6650" xr:uid="{00000000-0005-0000-0000-00002C060000}"/>
    <cellStyle name="40% - Accent4 4 6 2 2" xfId="15092" xr:uid="{D21AF07D-2675-43FF-AC31-063703D28D44}"/>
    <cellStyle name="40% - Accent4 4 6 3" xfId="10874" xr:uid="{23EF8810-AC21-4D2A-A156-91D545071ED9}"/>
    <cellStyle name="40% - Accent4 4 7" xfId="4584" xr:uid="{00000000-0005-0000-0000-00002D060000}"/>
    <cellStyle name="40% - Accent4 4 7 2" xfId="13026" xr:uid="{A08DFDD3-982C-41E5-B97D-9964D001F804}"/>
    <cellStyle name="40% - Accent4 4 8" xfId="8808" xr:uid="{D084423A-7A56-4D6B-AD5A-5D93B6688C72}"/>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9F1F22DD-B72F-4320-9208-EE8F3C3A4A60}"/>
    <cellStyle name="40% - Accent4 5 2 3" xfId="11360" xr:uid="{E7363E87-3FB1-45D4-BC09-B6F981E07E1C}"/>
    <cellStyle name="40% - Accent4 5 3" xfId="4991" xr:uid="{00000000-0005-0000-0000-000031060000}"/>
    <cellStyle name="40% - Accent4 5 3 2" xfId="13433" xr:uid="{78768D81-5502-4955-AE57-9845822B9075}"/>
    <cellStyle name="40% - Accent4 5 4" xfId="9215" xr:uid="{D7979765-D8E6-434A-94F3-7B47F2DD7F14}"/>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3AF68C20-3879-44FA-8E49-C7C5E0C7989F}"/>
    <cellStyle name="40% - Accent4 6 2 3" xfId="11773" xr:uid="{9EB272DA-2CED-4024-91CB-56FA422FDA31}"/>
    <cellStyle name="40% - Accent4 6 3" xfId="5404" xr:uid="{00000000-0005-0000-0000-000035060000}"/>
    <cellStyle name="40% - Accent4 6 3 2" xfId="13846" xr:uid="{EB01393C-C31D-4546-9580-C9A15BCFEC62}"/>
    <cellStyle name="40% - Accent4 6 4" xfId="9628" xr:uid="{E14D932A-9330-4E9D-89B7-3120729115BB}"/>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B5B0E7D6-828C-4441-9889-FD0BBEA71F51}"/>
    <cellStyle name="40% - Accent4 7 2 3" xfId="12186" xr:uid="{89C99077-5A8A-4F7E-8808-467844D1C4A5}"/>
    <cellStyle name="40% - Accent4 7 3" xfId="5817" xr:uid="{00000000-0005-0000-0000-000039060000}"/>
    <cellStyle name="40% - Accent4 7 3 2" xfId="14259" xr:uid="{E0C54963-7D83-4E7C-8A9E-DB0F55093994}"/>
    <cellStyle name="40% - Accent4 7 4" xfId="10041" xr:uid="{B528EA14-F9A6-47A0-9E51-EC41C62E9114}"/>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68C6E535-127D-48E1-87CD-F3ACC5709DAF}"/>
    <cellStyle name="40% - Accent4 8 2 3" xfId="12599" xr:uid="{737EC5A9-A3BA-4883-9074-1D10837CFCEC}"/>
    <cellStyle name="40% - Accent4 8 3" xfId="6230" xr:uid="{00000000-0005-0000-0000-00003D060000}"/>
    <cellStyle name="40% - Accent4 8 3 2" xfId="14672" xr:uid="{29B92B1D-84EB-4D85-9CBB-8D2F685F6A1C}"/>
    <cellStyle name="40% - Accent4 8 4" xfId="10454" xr:uid="{2A349128-3E44-49E3-AFCD-97EA5AA152C2}"/>
    <cellStyle name="40% - Accent4 9" xfId="2336" xr:uid="{00000000-0005-0000-0000-00003E060000}"/>
    <cellStyle name="40% - Accent4 9 2" xfId="6643" xr:uid="{00000000-0005-0000-0000-00003F060000}"/>
    <cellStyle name="40% - Accent4 9 2 2" xfId="15085" xr:uid="{79DA6CB6-472E-4CC7-907D-40C280DEF756}"/>
    <cellStyle name="40% - Accent4 9 3" xfId="10867" xr:uid="{448F6F13-83D5-43A4-A92B-7E54875C3789}"/>
    <cellStyle name="40% - Accent5" xfId="81" builtinId="47" customBuiltin="1"/>
    <cellStyle name="40% - Accent5 10" xfId="4585" xr:uid="{00000000-0005-0000-0000-000041060000}"/>
    <cellStyle name="40% - Accent5 10 2" xfId="13027" xr:uid="{659623A5-3843-4D97-8862-B8957D57917E}"/>
    <cellStyle name="40% - Accent5 11" xfId="8809" xr:uid="{0743561C-0FF8-4B5C-A97D-56F13A0D5B3A}"/>
    <cellStyle name="40% - Accent5 2" xfId="82" xr:uid="{00000000-0005-0000-0000-000042060000}"/>
    <cellStyle name="40% - Accent5 2 10" xfId="8810" xr:uid="{1C7E62AF-21FF-4D59-8C33-E5F7529DF59F}"/>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723C753B-2425-49D9-8AB5-033A1EEB1EF7}"/>
    <cellStyle name="40% - Accent5 2 2 2 2 2 3" xfId="11371" xr:uid="{163B92E6-8A47-4987-8759-99D4A29637B7}"/>
    <cellStyle name="40% - Accent5 2 2 2 2 3" xfId="5002" xr:uid="{00000000-0005-0000-0000-000048060000}"/>
    <cellStyle name="40% - Accent5 2 2 2 2 3 2" xfId="13444" xr:uid="{58895D80-2077-45F2-8BCB-81661D2A4AEA}"/>
    <cellStyle name="40% - Accent5 2 2 2 2 4" xfId="9226" xr:uid="{D524C061-9FFF-40D5-AA7F-CCCBC87DB4EB}"/>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E85B69D9-7AAC-4F5A-B0CE-BCADADE80741}"/>
    <cellStyle name="40% - Accent5 2 2 2 3 2 3" xfId="11784" xr:uid="{80FAAC9F-744B-4F8E-B047-4D30576E034E}"/>
    <cellStyle name="40% - Accent5 2 2 2 3 3" xfId="5415" xr:uid="{00000000-0005-0000-0000-00004C060000}"/>
    <cellStyle name="40% - Accent5 2 2 2 3 3 2" xfId="13857" xr:uid="{BC77E022-BCAD-4F04-AE29-68538F23B405}"/>
    <cellStyle name="40% - Accent5 2 2 2 3 4" xfId="9639" xr:uid="{EC51794C-5398-44C7-A216-6ACD9536B26E}"/>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A6100492-EB21-438E-8E8A-AF47BFF421DC}"/>
    <cellStyle name="40% - Accent5 2 2 2 4 2 3" xfId="12197" xr:uid="{38DFC7D2-8E48-474A-B53F-BF9C7586837E}"/>
    <cellStyle name="40% - Accent5 2 2 2 4 3" xfId="5828" xr:uid="{00000000-0005-0000-0000-000050060000}"/>
    <cellStyle name="40% - Accent5 2 2 2 4 3 2" xfId="14270" xr:uid="{5E2D2E2A-3828-4DF3-8D09-FDF2F270DF6D}"/>
    <cellStyle name="40% - Accent5 2 2 2 4 4" xfId="10052" xr:uid="{CDC4498C-AEB8-4EDD-BFAD-BE3FCE6F93D5}"/>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44F964D4-77EE-4E9A-9051-09ADB4652295}"/>
    <cellStyle name="40% - Accent5 2 2 2 5 2 3" xfId="12610" xr:uid="{43780314-A60F-46F2-9289-C5F585CA6C7C}"/>
    <cellStyle name="40% - Accent5 2 2 2 5 3" xfId="6241" xr:uid="{00000000-0005-0000-0000-000054060000}"/>
    <cellStyle name="40% - Accent5 2 2 2 5 3 2" xfId="14683" xr:uid="{A0613A10-34FA-4A14-BFB3-F3F25F77B62B}"/>
    <cellStyle name="40% - Accent5 2 2 2 5 4" xfId="10465" xr:uid="{FA3C9AA4-9940-4C24-80A5-6822A71B1648}"/>
    <cellStyle name="40% - Accent5 2 2 2 6" xfId="2347" xr:uid="{00000000-0005-0000-0000-000055060000}"/>
    <cellStyle name="40% - Accent5 2 2 2 6 2" xfId="6654" xr:uid="{00000000-0005-0000-0000-000056060000}"/>
    <cellStyle name="40% - Accent5 2 2 2 6 2 2" xfId="15096" xr:uid="{852192D0-78F5-47C9-8DB3-0E9859901F2A}"/>
    <cellStyle name="40% - Accent5 2 2 2 6 3" xfId="10878" xr:uid="{CBD75399-09EA-4EB8-8700-D0511A1363EA}"/>
    <cellStyle name="40% - Accent5 2 2 2 7" xfId="4588" xr:uid="{00000000-0005-0000-0000-000057060000}"/>
    <cellStyle name="40% - Accent5 2 2 2 7 2" xfId="13030" xr:uid="{43028B3A-C090-43AB-92C1-865124D8870E}"/>
    <cellStyle name="40% - Accent5 2 2 2 8" xfId="8812" xr:uid="{B1FC8648-3972-42BD-A26F-E35E52E73ABD}"/>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574D4DA9-8FB9-4BAF-B3F1-70518E4FAC0C}"/>
    <cellStyle name="40% - Accent5 2 2 3 2 3" xfId="11370" xr:uid="{1917BCD1-7055-4069-819B-E573FB539A5D}"/>
    <cellStyle name="40% - Accent5 2 2 3 3" xfId="5001" xr:uid="{00000000-0005-0000-0000-00005B060000}"/>
    <cellStyle name="40% - Accent5 2 2 3 3 2" xfId="13443" xr:uid="{9587D255-3CDE-4CDA-A248-58A1C8158635}"/>
    <cellStyle name="40% - Accent5 2 2 3 4" xfId="9225" xr:uid="{B7113580-3B0B-4F63-A8D8-54EFAFA1780F}"/>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F499BC86-5853-4445-B30D-1204E5453509}"/>
    <cellStyle name="40% - Accent5 2 2 4 2 3" xfId="11783" xr:uid="{41C6C622-0FF0-419E-8323-4A149609D1E2}"/>
    <cellStyle name="40% - Accent5 2 2 4 3" xfId="5414" xr:uid="{00000000-0005-0000-0000-00005F060000}"/>
    <cellStyle name="40% - Accent5 2 2 4 3 2" xfId="13856" xr:uid="{AA6F340E-01F5-43E1-8F4E-8C0934F9162C}"/>
    <cellStyle name="40% - Accent5 2 2 4 4" xfId="9638" xr:uid="{65722EFD-6B07-4D7D-A23D-A6C40F116A29}"/>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44DEA290-0E83-4710-AE43-59921AD19D70}"/>
    <cellStyle name="40% - Accent5 2 2 5 2 3" xfId="12196" xr:uid="{FEA26E40-98EB-4484-BFC1-619B87579814}"/>
    <cellStyle name="40% - Accent5 2 2 5 3" xfId="5827" xr:uid="{00000000-0005-0000-0000-000063060000}"/>
    <cellStyle name="40% - Accent5 2 2 5 3 2" xfId="14269" xr:uid="{3BC0B5A9-FA30-4823-A345-0F1148B12ADF}"/>
    <cellStyle name="40% - Accent5 2 2 5 4" xfId="10051" xr:uid="{FF182A4D-CE9E-4563-AAFA-469FDE1ADF36}"/>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DBBA85A8-354E-4194-A464-00D9F83D9BD7}"/>
    <cellStyle name="40% - Accent5 2 2 6 2 3" xfId="12609" xr:uid="{2165D750-E122-4CFF-A357-E879FD18545A}"/>
    <cellStyle name="40% - Accent5 2 2 6 3" xfId="6240" xr:uid="{00000000-0005-0000-0000-000067060000}"/>
    <cellStyle name="40% - Accent5 2 2 6 3 2" xfId="14682" xr:uid="{DC938CEC-A902-4C0C-B542-C92B289CC0B4}"/>
    <cellStyle name="40% - Accent5 2 2 6 4" xfId="10464" xr:uid="{C3C36F4F-74E4-4F4C-9C04-0C596FB755C3}"/>
    <cellStyle name="40% - Accent5 2 2 7" xfId="2346" xr:uid="{00000000-0005-0000-0000-000068060000}"/>
    <cellStyle name="40% - Accent5 2 2 7 2" xfId="6653" xr:uid="{00000000-0005-0000-0000-000069060000}"/>
    <cellStyle name="40% - Accent5 2 2 7 2 2" xfId="15095" xr:uid="{F9D13928-6D3C-4A20-8DF8-C96E1B3FA319}"/>
    <cellStyle name="40% - Accent5 2 2 7 3" xfId="10877" xr:uid="{F554CA02-D7C9-4F7A-B626-0D75F3CD2298}"/>
    <cellStyle name="40% - Accent5 2 2 8" xfId="4587" xr:uid="{00000000-0005-0000-0000-00006A060000}"/>
    <cellStyle name="40% - Accent5 2 2 8 2" xfId="13029" xr:uid="{6F333EAE-D8AE-48F6-BE7C-9243557CB450}"/>
    <cellStyle name="40% - Accent5 2 2 9" xfId="8811" xr:uid="{E82AC248-F1C5-425E-BBEB-2D9370E2156B}"/>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59C0F1DD-40B3-474A-B1E3-9E8B63A27807}"/>
    <cellStyle name="40% - Accent5 2 3 2 2 3" xfId="11372" xr:uid="{AB612A05-4A3B-415F-BF3D-284650340F48}"/>
    <cellStyle name="40% - Accent5 2 3 2 3" xfId="5003" xr:uid="{00000000-0005-0000-0000-00006F060000}"/>
    <cellStyle name="40% - Accent5 2 3 2 3 2" xfId="13445" xr:uid="{C645EDCA-8854-4AE2-B0CF-B132487E3735}"/>
    <cellStyle name="40% - Accent5 2 3 2 4" xfId="9227" xr:uid="{033FF117-1CF4-4891-8672-C49AA0F615CB}"/>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C284B544-278F-44D8-88E5-F95FA8A2EBD1}"/>
    <cellStyle name="40% - Accent5 2 3 3 2 3" xfId="11785" xr:uid="{549BB11D-09B0-466E-93AA-532420C1B200}"/>
    <cellStyle name="40% - Accent5 2 3 3 3" xfId="5416" xr:uid="{00000000-0005-0000-0000-000073060000}"/>
    <cellStyle name="40% - Accent5 2 3 3 3 2" xfId="13858" xr:uid="{8C950208-A013-4791-BF51-9BCA17F3AD0C}"/>
    <cellStyle name="40% - Accent5 2 3 3 4" xfId="9640" xr:uid="{BFEA1377-9DA9-447A-8765-5501866DECD8}"/>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1FEABF9A-A2CF-4A03-9B1B-51AF39454839}"/>
    <cellStyle name="40% - Accent5 2 3 4 2 3" xfId="12198" xr:uid="{4C89C3FD-7C59-4C30-B909-383E10F6E3AE}"/>
    <cellStyle name="40% - Accent5 2 3 4 3" xfId="5829" xr:uid="{00000000-0005-0000-0000-000077060000}"/>
    <cellStyle name="40% - Accent5 2 3 4 3 2" xfId="14271" xr:uid="{1E71D252-0C2E-493F-9CD0-7C295AEA8578}"/>
    <cellStyle name="40% - Accent5 2 3 4 4" xfId="10053" xr:uid="{4669E5AE-DE3C-4076-B1C4-0DE379C2E46D}"/>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97743A89-4330-44E2-A6CB-0739003693BC}"/>
    <cellStyle name="40% - Accent5 2 3 5 2 3" xfId="12611" xr:uid="{FF581520-84A9-4452-95FB-0FCC34597378}"/>
    <cellStyle name="40% - Accent5 2 3 5 3" xfId="6242" xr:uid="{00000000-0005-0000-0000-00007B060000}"/>
    <cellStyle name="40% - Accent5 2 3 5 3 2" xfId="14684" xr:uid="{662CF7DC-F861-4211-B77E-5F06BD7705EF}"/>
    <cellStyle name="40% - Accent5 2 3 5 4" xfId="10466" xr:uid="{090813DC-FC88-4C3D-B9D4-CE6833EE76FB}"/>
    <cellStyle name="40% - Accent5 2 3 6" xfId="2348" xr:uid="{00000000-0005-0000-0000-00007C060000}"/>
    <cellStyle name="40% - Accent5 2 3 6 2" xfId="6655" xr:uid="{00000000-0005-0000-0000-00007D060000}"/>
    <cellStyle name="40% - Accent5 2 3 6 2 2" xfId="15097" xr:uid="{93D41D08-5D9F-49BD-A3D9-8AFF3E8910AE}"/>
    <cellStyle name="40% - Accent5 2 3 6 3" xfId="10879" xr:uid="{23DA04AC-F934-42B2-B89D-EE83CAB9DDC0}"/>
    <cellStyle name="40% - Accent5 2 3 7" xfId="4589" xr:uid="{00000000-0005-0000-0000-00007E060000}"/>
    <cellStyle name="40% - Accent5 2 3 7 2" xfId="13031" xr:uid="{D802B084-BFB1-4DC5-B76A-4854F72BD42F}"/>
    <cellStyle name="40% - Accent5 2 3 8" xfId="8813" xr:uid="{416BF34B-6A96-48A6-92A9-3BBAD2B7B138}"/>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8C312D42-AB94-4884-97C4-B0AE8D98153F}"/>
    <cellStyle name="40% - Accent5 2 4 2 3" xfId="11369" xr:uid="{7E9E6887-9A5C-42DD-8492-AABE4D50CF0A}"/>
    <cellStyle name="40% - Accent5 2 4 3" xfId="5000" xr:uid="{00000000-0005-0000-0000-000082060000}"/>
    <cellStyle name="40% - Accent5 2 4 3 2" xfId="13442" xr:uid="{331106DB-B9E1-4A10-9469-B8CC33C9823D}"/>
    <cellStyle name="40% - Accent5 2 4 4" xfId="9224" xr:uid="{B1332DC4-C402-4E8C-B6A6-EB02A3D1A89D}"/>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324E34F6-09AF-41BA-A2C8-56CE1E541871}"/>
    <cellStyle name="40% - Accent5 2 5 2 3" xfId="11782" xr:uid="{EB47FE47-A138-4C3C-ABF1-90A570B1BD4C}"/>
    <cellStyle name="40% - Accent5 2 5 3" xfId="5413" xr:uid="{00000000-0005-0000-0000-000086060000}"/>
    <cellStyle name="40% - Accent5 2 5 3 2" xfId="13855" xr:uid="{2971C182-B43D-4964-9B61-EDCDC78826F4}"/>
    <cellStyle name="40% - Accent5 2 5 4" xfId="9637" xr:uid="{95A4E3F7-8B51-47F9-A228-F8D68D0A8C20}"/>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4087C073-F7FC-4AF2-B4B6-076981C5D7FB}"/>
    <cellStyle name="40% - Accent5 2 6 2 3" xfId="12195" xr:uid="{91DE62CD-F738-43BE-9D38-4FFAEC61F39F}"/>
    <cellStyle name="40% - Accent5 2 6 3" xfId="5826" xr:uid="{00000000-0005-0000-0000-00008A060000}"/>
    <cellStyle name="40% - Accent5 2 6 3 2" xfId="14268" xr:uid="{EA831F91-BFA4-4C3D-A385-55AB3EA092F8}"/>
    <cellStyle name="40% - Accent5 2 6 4" xfId="10050" xr:uid="{EED9027C-05D3-4D6E-8390-EEB305FEC153}"/>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67C401BE-2827-4FA6-B1BD-70F05CCDFB73}"/>
    <cellStyle name="40% - Accent5 2 7 2 3" xfId="12608" xr:uid="{6CF2348B-C332-4761-8009-5CD2030C6DF7}"/>
    <cellStyle name="40% - Accent5 2 7 3" xfId="6239" xr:uid="{00000000-0005-0000-0000-00008E060000}"/>
    <cellStyle name="40% - Accent5 2 7 3 2" xfId="14681" xr:uid="{FBE5D3E2-5B0F-480E-9202-041866C2A45D}"/>
    <cellStyle name="40% - Accent5 2 7 4" xfId="10463" xr:uid="{53869A8B-4B00-43FE-8379-39CA736A60CD}"/>
    <cellStyle name="40% - Accent5 2 8" xfId="2345" xr:uid="{00000000-0005-0000-0000-00008F060000}"/>
    <cellStyle name="40% - Accent5 2 8 2" xfId="6652" xr:uid="{00000000-0005-0000-0000-000090060000}"/>
    <cellStyle name="40% - Accent5 2 8 2 2" xfId="15094" xr:uid="{4A546A32-6506-4E90-9FF6-5D5C635A71A4}"/>
    <cellStyle name="40% - Accent5 2 8 3" xfId="10876" xr:uid="{BFAE3FB2-3BA0-4880-8D23-A88728D58804}"/>
    <cellStyle name="40% - Accent5 2 9" xfId="4586" xr:uid="{00000000-0005-0000-0000-000091060000}"/>
    <cellStyle name="40% - Accent5 2 9 2" xfId="13028" xr:uid="{9057FE03-0E6A-4D37-A5D9-44426CBDB6F4}"/>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5AE60833-4E54-459E-84BD-293EA13CF4DB}"/>
    <cellStyle name="40% - Accent5 3 2 2 2 3" xfId="11374" xr:uid="{56A6AC26-D321-4A60-B760-CC8CDE4BAC7D}"/>
    <cellStyle name="40% - Accent5 3 2 2 3" xfId="5005" xr:uid="{00000000-0005-0000-0000-000097060000}"/>
    <cellStyle name="40% - Accent5 3 2 2 3 2" xfId="13447" xr:uid="{F8A48FB7-388F-4EF3-826E-E2C03ADCE2D8}"/>
    <cellStyle name="40% - Accent5 3 2 2 4" xfId="9229" xr:uid="{C89A2FBB-B3B8-457F-A03D-68DD10339A1A}"/>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3673C628-D7E6-4AF4-9494-098349153306}"/>
    <cellStyle name="40% - Accent5 3 2 3 2 3" xfId="11787" xr:uid="{52C4975F-F82F-41EF-97D3-F7E301FB2AD7}"/>
    <cellStyle name="40% - Accent5 3 2 3 3" xfId="5418" xr:uid="{00000000-0005-0000-0000-00009B060000}"/>
    <cellStyle name="40% - Accent5 3 2 3 3 2" xfId="13860" xr:uid="{DBE4F55F-4C72-4263-9916-F3879258A956}"/>
    <cellStyle name="40% - Accent5 3 2 3 4" xfId="9642" xr:uid="{0040A501-516A-49E9-84A6-271E4104A032}"/>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2F52C037-5A82-4AF5-A031-9A67CE5E816A}"/>
    <cellStyle name="40% - Accent5 3 2 4 2 3" xfId="12200" xr:uid="{CFF2E347-67F6-4677-8DEA-26EF78E8BF3E}"/>
    <cellStyle name="40% - Accent5 3 2 4 3" xfId="5831" xr:uid="{00000000-0005-0000-0000-00009F060000}"/>
    <cellStyle name="40% - Accent5 3 2 4 3 2" xfId="14273" xr:uid="{B1AD4CC4-A451-4541-B75A-C0A5DFF9F8B8}"/>
    <cellStyle name="40% - Accent5 3 2 4 4" xfId="10055" xr:uid="{63FC8895-F580-4316-8255-86F292D832A4}"/>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0ED3050F-FAF2-488A-8962-C5DCA97D04A9}"/>
    <cellStyle name="40% - Accent5 3 2 5 2 3" xfId="12613" xr:uid="{E70B9F5F-9E1B-43D0-90CF-63E6437F0C19}"/>
    <cellStyle name="40% - Accent5 3 2 5 3" xfId="6244" xr:uid="{00000000-0005-0000-0000-0000A3060000}"/>
    <cellStyle name="40% - Accent5 3 2 5 3 2" xfId="14686" xr:uid="{92200CAC-0FEF-4A45-83A1-757BD5DEA548}"/>
    <cellStyle name="40% - Accent5 3 2 5 4" xfId="10468" xr:uid="{D0F983ED-6685-40BF-B867-0B81312777C0}"/>
    <cellStyle name="40% - Accent5 3 2 6" xfId="2350" xr:uid="{00000000-0005-0000-0000-0000A4060000}"/>
    <cellStyle name="40% - Accent5 3 2 6 2" xfId="6657" xr:uid="{00000000-0005-0000-0000-0000A5060000}"/>
    <cellStyle name="40% - Accent5 3 2 6 2 2" xfId="15099" xr:uid="{B1476F6B-52AB-4C92-BCCA-821D92E2F7A9}"/>
    <cellStyle name="40% - Accent5 3 2 6 3" xfId="10881" xr:uid="{3CEB563D-05AB-49A7-A805-6AB54F1A099B}"/>
    <cellStyle name="40% - Accent5 3 2 7" xfId="4591" xr:uid="{00000000-0005-0000-0000-0000A6060000}"/>
    <cellStyle name="40% - Accent5 3 2 7 2" xfId="13033" xr:uid="{2345B75F-184B-499A-9F6A-D769E247712F}"/>
    <cellStyle name="40% - Accent5 3 2 8" xfId="8815" xr:uid="{3946ABE8-031F-4014-BDDE-04016B81886C}"/>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1A3A8444-7157-4358-829B-B9C95032A32D}"/>
    <cellStyle name="40% - Accent5 3 3 2 3" xfId="11373" xr:uid="{F4C9CAE2-F218-46C3-A50F-5922A3D7E38D}"/>
    <cellStyle name="40% - Accent5 3 3 3" xfId="5004" xr:uid="{00000000-0005-0000-0000-0000AA060000}"/>
    <cellStyle name="40% - Accent5 3 3 3 2" xfId="13446" xr:uid="{25E8B4BC-F091-4648-B24B-D6D917999555}"/>
    <cellStyle name="40% - Accent5 3 3 4" xfId="9228" xr:uid="{4ED6D874-7D7E-4B21-B96E-15DA013CFB3C}"/>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0D415766-912B-4C28-B122-C9F613120C6E}"/>
    <cellStyle name="40% - Accent5 3 4 2 3" xfId="11786" xr:uid="{620B20C5-B515-47F0-A505-5C217C68F5D7}"/>
    <cellStyle name="40% - Accent5 3 4 3" xfId="5417" xr:uid="{00000000-0005-0000-0000-0000AE060000}"/>
    <cellStyle name="40% - Accent5 3 4 3 2" xfId="13859" xr:uid="{67E9F2D9-B26B-4D05-ADE6-2326D5498E33}"/>
    <cellStyle name="40% - Accent5 3 4 4" xfId="9641" xr:uid="{743816DD-A7C0-4342-A5B2-9397E9D4B7FF}"/>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0149FD85-AC39-4519-8395-6AEC8E7EAE0A}"/>
    <cellStyle name="40% - Accent5 3 5 2 3" xfId="12199" xr:uid="{EBB9AFAC-2A3F-495B-83AE-788FD49F9997}"/>
    <cellStyle name="40% - Accent5 3 5 3" xfId="5830" xr:uid="{00000000-0005-0000-0000-0000B2060000}"/>
    <cellStyle name="40% - Accent5 3 5 3 2" xfId="14272" xr:uid="{F75B8568-0F49-47C6-8EAA-D6D8AFA783CA}"/>
    <cellStyle name="40% - Accent5 3 5 4" xfId="10054" xr:uid="{6EA15796-F04F-42FE-A1C2-271F8F410CE2}"/>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07E1CBD2-8AED-4EF8-A23E-1CBBD7638D0B}"/>
    <cellStyle name="40% - Accent5 3 6 2 3" xfId="12612" xr:uid="{7F623835-B230-4D1E-90AD-574DB83A28E4}"/>
    <cellStyle name="40% - Accent5 3 6 3" xfId="6243" xr:uid="{00000000-0005-0000-0000-0000B6060000}"/>
    <cellStyle name="40% - Accent5 3 6 3 2" xfId="14685" xr:uid="{8F1FCE3C-4618-4296-B683-45E0236EBA9B}"/>
    <cellStyle name="40% - Accent5 3 6 4" xfId="10467" xr:uid="{E29F42A1-FA4E-463F-8D9E-0413077DDB2E}"/>
    <cellStyle name="40% - Accent5 3 7" xfId="2349" xr:uid="{00000000-0005-0000-0000-0000B7060000}"/>
    <cellStyle name="40% - Accent5 3 7 2" xfId="6656" xr:uid="{00000000-0005-0000-0000-0000B8060000}"/>
    <cellStyle name="40% - Accent5 3 7 2 2" xfId="15098" xr:uid="{6E5DBE00-EC40-4E4A-A4AC-E882F7CAC17B}"/>
    <cellStyle name="40% - Accent5 3 7 3" xfId="10880" xr:uid="{EAB5BD03-20AA-446D-AA10-1EB84D701BC6}"/>
    <cellStyle name="40% - Accent5 3 8" xfId="4590" xr:uid="{00000000-0005-0000-0000-0000B9060000}"/>
    <cellStyle name="40% - Accent5 3 8 2" xfId="13032" xr:uid="{3CE5B510-A623-43EF-9CCE-8B26871ECAB0}"/>
    <cellStyle name="40% - Accent5 3 9" xfId="8814" xr:uid="{0B4B389F-EF97-4A1A-A01C-B020E107E4AC}"/>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C2D26540-80D5-4D39-8A83-3B52EF4FF5EF}"/>
    <cellStyle name="40% - Accent5 4 2 2 3" xfId="11375" xr:uid="{1EEF9F07-3E6C-48CC-B104-C86FCADA28FA}"/>
    <cellStyle name="40% - Accent5 4 2 3" xfId="5006" xr:uid="{00000000-0005-0000-0000-0000BE060000}"/>
    <cellStyle name="40% - Accent5 4 2 3 2" xfId="13448" xr:uid="{4B40BB33-B423-4571-8535-AE57E0C585E9}"/>
    <cellStyle name="40% - Accent5 4 2 4" xfId="9230" xr:uid="{1AD8C70E-0D0D-4A72-A40C-997EAC0DB5CA}"/>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B652F9D8-50B2-4D3F-A4FB-48ACC7599999}"/>
    <cellStyle name="40% - Accent5 4 3 2 3" xfId="11788" xr:uid="{8EBF779D-E464-4BF9-9224-77CDF9A7B3B5}"/>
    <cellStyle name="40% - Accent5 4 3 3" xfId="5419" xr:uid="{00000000-0005-0000-0000-0000C2060000}"/>
    <cellStyle name="40% - Accent5 4 3 3 2" xfId="13861" xr:uid="{DDB581B1-8AD0-43B8-B9DD-7EE9EC7231ED}"/>
    <cellStyle name="40% - Accent5 4 3 4" xfId="9643" xr:uid="{79E5788A-1897-4437-8312-0C4A72EE072E}"/>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F98B0209-52FA-47E4-9ADE-984107221693}"/>
    <cellStyle name="40% - Accent5 4 4 2 3" xfId="12201" xr:uid="{75889D67-3591-4928-A0B3-A7A17FD73C79}"/>
    <cellStyle name="40% - Accent5 4 4 3" xfId="5832" xr:uid="{00000000-0005-0000-0000-0000C6060000}"/>
    <cellStyle name="40% - Accent5 4 4 3 2" xfId="14274" xr:uid="{0CCB92D5-53B2-4CE4-9ED7-0152F942C15F}"/>
    <cellStyle name="40% - Accent5 4 4 4" xfId="10056" xr:uid="{16CA986B-DB52-4C31-A509-5806EC30F4D6}"/>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3697DD77-89B3-40F1-BA91-0F0F28562557}"/>
    <cellStyle name="40% - Accent5 4 5 2 3" xfId="12614" xr:uid="{9185911E-AB00-4E4A-A510-AF8D0A796058}"/>
    <cellStyle name="40% - Accent5 4 5 3" xfId="6245" xr:uid="{00000000-0005-0000-0000-0000CA060000}"/>
    <cellStyle name="40% - Accent5 4 5 3 2" xfId="14687" xr:uid="{84174CB5-3A88-4DF6-95C1-F48D82CB4BD0}"/>
    <cellStyle name="40% - Accent5 4 5 4" xfId="10469" xr:uid="{B1E20F77-5B44-48D7-B1DA-16ECD0380B7C}"/>
    <cellStyle name="40% - Accent5 4 6" xfId="2351" xr:uid="{00000000-0005-0000-0000-0000CB060000}"/>
    <cellStyle name="40% - Accent5 4 6 2" xfId="6658" xr:uid="{00000000-0005-0000-0000-0000CC060000}"/>
    <cellStyle name="40% - Accent5 4 6 2 2" xfId="15100" xr:uid="{8E9A43B9-0BB3-44EA-A2F7-A526CD3D5BEC}"/>
    <cellStyle name="40% - Accent5 4 6 3" xfId="10882" xr:uid="{417E18CB-B8E9-492A-86F0-BFF62006A49F}"/>
    <cellStyle name="40% - Accent5 4 7" xfId="4592" xr:uid="{00000000-0005-0000-0000-0000CD060000}"/>
    <cellStyle name="40% - Accent5 4 7 2" xfId="13034" xr:uid="{09FCF828-F82F-41A3-80CA-54CA8278FBC7}"/>
    <cellStyle name="40% - Accent5 4 8" xfId="8816" xr:uid="{78D9E3F2-87E1-4090-B713-85B0B3126B26}"/>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73910785-D8CD-42B6-8C86-A2E4B0B75B13}"/>
    <cellStyle name="40% - Accent5 5 2 3" xfId="11368" xr:uid="{0C69654D-D9FB-4FE9-92A9-86A0C165E0C5}"/>
    <cellStyle name="40% - Accent5 5 3" xfId="4999" xr:uid="{00000000-0005-0000-0000-0000D1060000}"/>
    <cellStyle name="40% - Accent5 5 3 2" xfId="13441" xr:uid="{4C4CD7B0-A16C-4B3B-BE37-7121FA192720}"/>
    <cellStyle name="40% - Accent5 5 4" xfId="9223" xr:uid="{1848E552-49C5-488B-9FBC-996A632D9696}"/>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DDA20D46-FA80-4F80-AEDE-29CCF5B6EB0D}"/>
    <cellStyle name="40% - Accent5 6 2 3" xfId="11781" xr:uid="{68544C28-1827-495F-96CC-7D770A54C523}"/>
    <cellStyle name="40% - Accent5 6 3" xfId="5412" xr:uid="{00000000-0005-0000-0000-0000D5060000}"/>
    <cellStyle name="40% - Accent5 6 3 2" xfId="13854" xr:uid="{691A7C19-63E8-48F1-B25E-3F022E1FB704}"/>
    <cellStyle name="40% - Accent5 6 4" xfId="9636" xr:uid="{38E4DE9E-DB87-4F04-8760-C878A5920777}"/>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FC313DCE-3A8A-48C1-9807-5F592B64959D}"/>
    <cellStyle name="40% - Accent5 7 2 3" xfId="12194" xr:uid="{DF5BE484-4D89-482F-BD08-072D6881C904}"/>
    <cellStyle name="40% - Accent5 7 3" xfId="5825" xr:uid="{00000000-0005-0000-0000-0000D9060000}"/>
    <cellStyle name="40% - Accent5 7 3 2" xfId="14267" xr:uid="{68195741-8D3F-43A7-B374-AE3797C52136}"/>
    <cellStyle name="40% - Accent5 7 4" xfId="10049" xr:uid="{38090F15-3F85-4EAB-BDD4-128D5A52856E}"/>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8AF15DA6-5509-4537-8D7B-8BD2012C5C7B}"/>
    <cellStyle name="40% - Accent5 8 2 3" xfId="12607" xr:uid="{7F7B42B6-D97E-4CE6-B7EC-04FE7FA39619}"/>
    <cellStyle name="40% - Accent5 8 3" xfId="6238" xr:uid="{00000000-0005-0000-0000-0000DD060000}"/>
    <cellStyle name="40% - Accent5 8 3 2" xfId="14680" xr:uid="{0D2C6F71-DBF4-4D45-AA6B-9AB27773A651}"/>
    <cellStyle name="40% - Accent5 8 4" xfId="10462" xr:uid="{B5507A92-6E6D-49B5-B668-A57FF10E538E}"/>
    <cellStyle name="40% - Accent5 9" xfId="2344" xr:uid="{00000000-0005-0000-0000-0000DE060000}"/>
    <cellStyle name="40% - Accent5 9 2" xfId="6651" xr:uid="{00000000-0005-0000-0000-0000DF060000}"/>
    <cellStyle name="40% - Accent5 9 2 2" xfId="15093" xr:uid="{2E57F992-42E4-4FBF-A3F5-F226C141DF03}"/>
    <cellStyle name="40% - Accent5 9 3" xfId="10875" xr:uid="{57AE3D92-410F-4756-A10B-14B4714F4F82}"/>
    <cellStyle name="40% - Accent6" xfId="89" builtinId="51" customBuiltin="1"/>
    <cellStyle name="40% - Accent6 10" xfId="4593" xr:uid="{00000000-0005-0000-0000-0000E1060000}"/>
    <cellStyle name="40% - Accent6 10 2" xfId="13035" xr:uid="{55CFACD3-A8AC-4C3B-A6DF-CF52CF904356}"/>
    <cellStyle name="40% - Accent6 11" xfId="8817" xr:uid="{8444B08B-9579-4F1F-B376-008AFEFCEA1E}"/>
    <cellStyle name="40% - Accent6 2" xfId="90" xr:uid="{00000000-0005-0000-0000-0000E2060000}"/>
    <cellStyle name="40% - Accent6 2 10" xfId="8818" xr:uid="{173BA316-5B9E-4B1E-9C68-7DFB6F2EDE5C}"/>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62D404E8-D28C-49B3-A5E6-3279AF26C6A0}"/>
    <cellStyle name="40% - Accent6 2 2 2 2 2 3" xfId="11379" xr:uid="{87134533-4FBA-4F00-AD6C-F953EDA484D6}"/>
    <cellStyle name="40% - Accent6 2 2 2 2 3" xfId="5010" xr:uid="{00000000-0005-0000-0000-0000E8060000}"/>
    <cellStyle name="40% - Accent6 2 2 2 2 3 2" xfId="13452" xr:uid="{74B607B5-CB65-4C50-B818-822201E095E5}"/>
    <cellStyle name="40% - Accent6 2 2 2 2 4" xfId="9234" xr:uid="{19CE762F-A441-4CD8-BB86-1C0F57A45A8F}"/>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2E31EE6E-8D37-40D1-86A7-9B1D8972514D}"/>
    <cellStyle name="40% - Accent6 2 2 2 3 2 3" xfId="11792" xr:uid="{FC576E58-6DEF-4719-9BAE-7C3CC8B7E821}"/>
    <cellStyle name="40% - Accent6 2 2 2 3 3" xfId="5423" xr:uid="{00000000-0005-0000-0000-0000EC060000}"/>
    <cellStyle name="40% - Accent6 2 2 2 3 3 2" xfId="13865" xr:uid="{7FCCB7E6-6C30-478B-B67C-A28A6DD53374}"/>
    <cellStyle name="40% - Accent6 2 2 2 3 4" xfId="9647" xr:uid="{A94B88F9-448B-4D34-B5C8-723A2EA3700E}"/>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54303321-A301-47AD-9ACF-1AB30851CB2A}"/>
    <cellStyle name="40% - Accent6 2 2 2 4 2 3" xfId="12205" xr:uid="{7BA805BE-608B-46D2-8AB9-26EF0C1E231F}"/>
    <cellStyle name="40% - Accent6 2 2 2 4 3" xfId="5836" xr:uid="{00000000-0005-0000-0000-0000F0060000}"/>
    <cellStyle name="40% - Accent6 2 2 2 4 3 2" xfId="14278" xr:uid="{3E69528D-8835-45AF-B302-D84BB66BD871}"/>
    <cellStyle name="40% - Accent6 2 2 2 4 4" xfId="10060" xr:uid="{A8F2D3FD-6BD6-46B0-8FFA-39241D2DD37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AAAABD48-F69A-4C73-B4F6-9A8C4C23B5F0}"/>
    <cellStyle name="40% - Accent6 2 2 2 5 2 3" xfId="12618" xr:uid="{A935C1A4-7674-4AE6-B21A-E698472DEE66}"/>
    <cellStyle name="40% - Accent6 2 2 2 5 3" xfId="6249" xr:uid="{00000000-0005-0000-0000-0000F4060000}"/>
    <cellStyle name="40% - Accent6 2 2 2 5 3 2" xfId="14691" xr:uid="{F60B71D7-332E-4793-86BC-ED180A9A6A3E}"/>
    <cellStyle name="40% - Accent6 2 2 2 5 4" xfId="10473" xr:uid="{B0CD5C1D-D094-46A0-AAA8-4396E4E792F1}"/>
    <cellStyle name="40% - Accent6 2 2 2 6" xfId="2355" xr:uid="{00000000-0005-0000-0000-0000F5060000}"/>
    <cellStyle name="40% - Accent6 2 2 2 6 2" xfId="6662" xr:uid="{00000000-0005-0000-0000-0000F6060000}"/>
    <cellStyle name="40% - Accent6 2 2 2 6 2 2" xfId="15104" xr:uid="{F5C81C41-E4F7-4FE1-A543-ADAC203AC902}"/>
    <cellStyle name="40% - Accent6 2 2 2 6 3" xfId="10886" xr:uid="{26C26711-53F3-404C-8D3D-234F0B8AACDD}"/>
    <cellStyle name="40% - Accent6 2 2 2 7" xfId="4596" xr:uid="{00000000-0005-0000-0000-0000F7060000}"/>
    <cellStyle name="40% - Accent6 2 2 2 7 2" xfId="13038" xr:uid="{377660EB-4857-4624-90AF-51EC05F40320}"/>
    <cellStyle name="40% - Accent6 2 2 2 8" xfId="8820" xr:uid="{84BACDFE-3FC7-4996-AFF8-7971348C12AE}"/>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8D6A6D7B-3396-4C7A-8ECB-02E5E62315CD}"/>
    <cellStyle name="40% - Accent6 2 2 3 2 3" xfId="11378" xr:uid="{5F6E39A2-C877-47FE-B98E-40F5AD702E4C}"/>
    <cellStyle name="40% - Accent6 2 2 3 3" xfId="5009" xr:uid="{00000000-0005-0000-0000-0000FB060000}"/>
    <cellStyle name="40% - Accent6 2 2 3 3 2" xfId="13451" xr:uid="{D0F0A39A-8C65-40B5-B586-06B37AD0BD31}"/>
    <cellStyle name="40% - Accent6 2 2 3 4" xfId="9233" xr:uid="{6B0522C5-9D66-4C2E-BB17-6C6BC6D253BF}"/>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07ECE19E-37D7-4501-A5A8-9003680D49DD}"/>
    <cellStyle name="40% - Accent6 2 2 4 2 3" xfId="11791" xr:uid="{20F34B09-375A-471B-B8EF-19E03B06CD3E}"/>
    <cellStyle name="40% - Accent6 2 2 4 3" xfId="5422" xr:uid="{00000000-0005-0000-0000-0000FF060000}"/>
    <cellStyle name="40% - Accent6 2 2 4 3 2" xfId="13864" xr:uid="{39DB5A10-CE1A-4276-AD88-08BCA696FA04}"/>
    <cellStyle name="40% - Accent6 2 2 4 4" xfId="9646" xr:uid="{335455E0-2A01-480C-A785-395B9EE71AED}"/>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A07BF6AF-FEAF-4FEB-A201-4E5CBF32DB12}"/>
    <cellStyle name="40% - Accent6 2 2 5 2 3" xfId="12204" xr:uid="{60149C5E-CDF8-4618-86D5-135024DBB28F}"/>
    <cellStyle name="40% - Accent6 2 2 5 3" xfId="5835" xr:uid="{00000000-0005-0000-0000-000003070000}"/>
    <cellStyle name="40% - Accent6 2 2 5 3 2" xfId="14277" xr:uid="{11E4CB26-FAF2-4DBA-AD30-522D9A74E689}"/>
    <cellStyle name="40% - Accent6 2 2 5 4" xfId="10059" xr:uid="{52AD8F41-EAAA-4243-8A94-4172347D0EF5}"/>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81B5B5F3-B5F0-4BA6-965C-2D95C561869C}"/>
    <cellStyle name="40% - Accent6 2 2 6 2 3" xfId="12617" xr:uid="{10836BCE-FFA9-4FC7-A358-C7C503616895}"/>
    <cellStyle name="40% - Accent6 2 2 6 3" xfId="6248" xr:uid="{00000000-0005-0000-0000-000007070000}"/>
    <cellStyle name="40% - Accent6 2 2 6 3 2" xfId="14690" xr:uid="{726D2A51-C3BA-4318-9DC4-AA190E966E73}"/>
    <cellStyle name="40% - Accent6 2 2 6 4" xfId="10472" xr:uid="{F3EDC4F1-9283-4D63-AF79-CD98F7EE5879}"/>
    <cellStyle name="40% - Accent6 2 2 7" xfId="2354" xr:uid="{00000000-0005-0000-0000-000008070000}"/>
    <cellStyle name="40% - Accent6 2 2 7 2" xfId="6661" xr:uid="{00000000-0005-0000-0000-000009070000}"/>
    <cellStyle name="40% - Accent6 2 2 7 2 2" xfId="15103" xr:uid="{1C839BAF-9AE2-4F85-8292-D050FAB4C59C}"/>
    <cellStyle name="40% - Accent6 2 2 7 3" xfId="10885" xr:uid="{93E5BE97-459B-4172-BD1D-BD1C6C77C4E8}"/>
    <cellStyle name="40% - Accent6 2 2 8" xfId="4595" xr:uid="{00000000-0005-0000-0000-00000A070000}"/>
    <cellStyle name="40% - Accent6 2 2 8 2" xfId="13037" xr:uid="{0C436C5D-D79A-4BB7-A8B3-94C6B96DD144}"/>
    <cellStyle name="40% - Accent6 2 2 9" xfId="8819" xr:uid="{E00A86C7-1467-42B7-A97C-6D54331E4556}"/>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77908924-CA36-4C63-A09E-C1332523E84F}"/>
    <cellStyle name="40% - Accent6 2 3 2 2 3" xfId="11380" xr:uid="{83494B75-45C7-490D-8A2E-BB39672B5BB7}"/>
    <cellStyle name="40% - Accent6 2 3 2 3" xfId="5011" xr:uid="{00000000-0005-0000-0000-00000F070000}"/>
    <cellStyle name="40% - Accent6 2 3 2 3 2" xfId="13453" xr:uid="{53FCA6ED-DD46-4F1C-8852-B87211D91047}"/>
    <cellStyle name="40% - Accent6 2 3 2 4" xfId="9235" xr:uid="{2DDE759E-146B-4663-AFE2-2C676DAE9E72}"/>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CEB2B423-698E-4241-B2CE-194069407ADB}"/>
    <cellStyle name="40% - Accent6 2 3 3 2 3" xfId="11793" xr:uid="{4D7AFD0E-CA70-4958-80EC-B65EAF990371}"/>
    <cellStyle name="40% - Accent6 2 3 3 3" xfId="5424" xr:uid="{00000000-0005-0000-0000-000013070000}"/>
    <cellStyle name="40% - Accent6 2 3 3 3 2" xfId="13866" xr:uid="{B5820584-6039-40E8-BC69-0CE669E22679}"/>
    <cellStyle name="40% - Accent6 2 3 3 4" xfId="9648" xr:uid="{C8CB825C-06B8-4F13-9069-8EB91917250C}"/>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F34E41C1-C06D-4B83-B9C4-616E69C2101F}"/>
    <cellStyle name="40% - Accent6 2 3 4 2 3" xfId="12206" xr:uid="{665D6680-EA21-4964-A8B3-F4785F428EC0}"/>
    <cellStyle name="40% - Accent6 2 3 4 3" xfId="5837" xr:uid="{00000000-0005-0000-0000-000017070000}"/>
    <cellStyle name="40% - Accent6 2 3 4 3 2" xfId="14279" xr:uid="{BA1D3EDE-C1B6-483E-8E3B-5B352D2D0BBF}"/>
    <cellStyle name="40% - Accent6 2 3 4 4" xfId="10061" xr:uid="{15EED3D5-A155-4193-AFDE-707FA00869B6}"/>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9D361DA9-7313-437E-B2CC-524BEDC5E473}"/>
    <cellStyle name="40% - Accent6 2 3 5 2 3" xfId="12619" xr:uid="{F522B742-A088-4A74-A8FC-4E89B351A79A}"/>
    <cellStyle name="40% - Accent6 2 3 5 3" xfId="6250" xr:uid="{00000000-0005-0000-0000-00001B070000}"/>
    <cellStyle name="40% - Accent6 2 3 5 3 2" xfId="14692" xr:uid="{16822A52-E717-4BDA-AAA3-0131B0E7008A}"/>
    <cellStyle name="40% - Accent6 2 3 5 4" xfId="10474" xr:uid="{BE27BB29-AC2A-4D94-9D52-257DE4913730}"/>
    <cellStyle name="40% - Accent6 2 3 6" xfId="2356" xr:uid="{00000000-0005-0000-0000-00001C070000}"/>
    <cellStyle name="40% - Accent6 2 3 6 2" xfId="6663" xr:uid="{00000000-0005-0000-0000-00001D070000}"/>
    <cellStyle name="40% - Accent6 2 3 6 2 2" xfId="15105" xr:uid="{508E5E60-BB49-49C0-B007-326DEC08F0C3}"/>
    <cellStyle name="40% - Accent6 2 3 6 3" xfId="10887" xr:uid="{779612B0-65F6-4599-9045-B8BE5E45E2C6}"/>
    <cellStyle name="40% - Accent6 2 3 7" xfId="4597" xr:uid="{00000000-0005-0000-0000-00001E070000}"/>
    <cellStyle name="40% - Accent6 2 3 7 2" xfId="13039" xr:uid="{9D4412DE-E2FF-4067-84F8-464097AFFB00}"/>
    <cellStyle name="40% - Accent6 2 3 8" xfId="8821" xr:uid="{B3406941-88DC-4CA9-A815-54221AAB8B19}"/>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B21C8087-4078-4EB9-A112-0CAEEA0B3363}"/>
    <cellStyle name="40% - Accent6 2 4 2 3" xfId="11377" xr:uid="{2AAD6334-7C1F-4768-8E32-89B2CAD9184D}"/>
    <cellStyle name="40% - Accent6 2 4 3" xfId="5008" xr:uid="{00000000-0005-0000-0000-000022070000}"/>
    <cellStyle name="40% - Accent6 2 4 3 2" xfId="13450" xr:uid="{3C25D44E-ED7B-4432-9E30-446DE77FAD4C}"/>
    <cellStyle name="40% - Accent6 2 4 4" xfId="9232" xr:uid="{3ECC77B4-77EA-477E-B491-CFC9DA8C167C}"/>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9918C6D4-2284-4838-8D13-DBBC996E690E}"/>
    <cellStyle name="40% - Accent6 2 5 2 3" xfId="11790" xr:uid="{78470026-CB48-4FC6-BA0D-264591F718D4}"/>
    <cellStyle name="40% - Accent6 2 5 3" xfId="5421" xr:uid="{00000000-0005-0000-0000-000026070000}"/>
    <cellStyle name="40% - Accent6 2 5 3 2" xfId="13863" xr:uid="{00999361-C889-4B57-97CF-1D101C365787}"/>
    <cellStyle name="40% - Accent6 2 5 4" xfId="9645" xr:uid="{88D7D012-2AFF-4379-986E-1E7A5A515428}"/>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2596328F-93AB-4545-9F83-FD58594613CE}"/>
    <cellStyle name="40% - Accent6 2 6 2 3" xfId="12203" xr:uid="{4031F662-6042-45CA-A32E-3C5AA105C354}"/>
    <cellStyle name="40% - Accent6 2 6 3" xfId="5834" xr:uid="{00000000-0005-0000-0000-00002A070000}"/>
    <cellStyle name="40% - Accent6 2 6 3 2" xfId="14276" xr:uid="{3C2C5A8F-D7BC-4438-BFD0-BFE1A15AF2C8}"/>
    <cellStyle name="40% - Accent6 2 6 4" xfId="10058" xr:uid="{436C3DD3-D848-4486-A47E-4915E6F34768}"/>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EE19440B-119F-46BF-8750-7B3178340C5A}"/>
    <cellStyle name="40% - Accent6 2 7 2 3" xfId="12616" xr:uid="{13A150B2-AD9C-47AD-8EFB-C1E97C22404D}"/>
    <cellStyle name="40% - Accent6 2 7 3" xfId="6247" xr:uid="{00000000-0005-0000-0000-00002E070000}"/>
    <cellStyle name="40% - Accent6 2 7 3 2" xfId="14689" xr:uid="{51F1B355-5EC9-4B23-87E5-A83B2353BF6B}"/>
    <cellStyle name="40% - Accent6 2 7 4" xfId="10471" xr:uid="{7D5C7A62-D02A-47BF-AD8B-C655A3E2EAEE}"/>
    <cellStyle name="40% - Accent6 2 8" xfId="2353" xr:uid="{00000000-0005-0000-0000-00002F070000}"/>
    <cellStyle name="40% - Accent6 2 8 2" xfId="6660" xr:uid="{00000000-0005-0000-0000-000030070000}"/>
    <cellStyle name="40% - Accent6 2 8 2 2" xfId="15102" xr:uid="{E736A4F3-5738-4A94-A50E-500D6AB3E612}"/>
    <cellStyle name="40% - Accent6 2 8 3" xfId="10884" xr:uid="{07C29103-9955-4AC8-853D-5FE29D2EC9C3}"/>
    <cellStyle name="40% - Accent6 2 9" xfId="4594" xr:uid="{00000000-0005-0000-0000-000031070000}"/>
    <cellStyle name="40% - Accent6 2 9 2" xfId="13036" xr:uid="{45BDC4B8-6E76-427A-B2DE-8A07F993A07A}"/>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11AC8A55-9086-4770-8EDD-38B4CE33F227}"/>
    <cellStyle name="40% - Accent6 3 2 2 2 3" xfId="11382" xr:uid="{829678BF-A696-46E8-9792-C5575042F7A0}"/>
    <cellStyle name="40% - Accent6 3 2 2 3" xfId="5013" xr:uid="{00000000-0005-0000-0000-000037070000}"/>
    <cellStyle name="40% - Accent6 3 2 2 3 2" xfId="13455" xr:uid="{FD4B4993-1B1A-42A0-873F-4785603D2A04}"/>
    <cellStyle name="40% - Accent6 3 2 2 4" xfId="9237" xr:uid="{17D7C107-E7BE-4ED8-AA3F-CAEDB925CCEF}"/>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F4FBDA21-321F-4CA4-A3B8-BCF4F74780B4}"/>
    <cellStyle name="40% - Accent6 3 2 3 2 3" xfId="11795" xr:uid="{B940510E-4504-4F8F-8250-161939390339}"/>
    <cellStyle name="40% - Accent6 3 2 3 3" xfId="5426" xr:uid="{00000000-0005-0000-0000-00003B070000}"/>
    <cellStyle name="40% - Accent6 3 2 3 3 2" xfId="13868" xr:uid="{97795C05-015E-4FE6-B910-63366DA0E8BD}"/>
    <cellStyle name="40% - Accent6 3 2 3 4" xfId="9650" xr:uid="{66F86377-2126-4C7E-852B-B9B800E2B0A7}"/>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1D5C4B9B-8143-41B3-A64E-5453D1498AA2}"/>
    <cellStyle name="40% - Accent6 3 2 4 2 3" xfId="12208" xr:uid="{344F0E8A-D13F-46BC-AD57-35788EDB956A}"/>
    <cellStyle name="40% - Accent6 3 2 4 3" xfId="5839" xr:uid="{00000000-0005-0000-0000-00003F070000}"/>
    <cellStyle name="40% - Accent6 3 2 4 3 2" xfId="14281" xr:uid="{846D5262-66BF-4DBA-AF01-76607482E1A7}"/>
    <cellStyle name="40% - Accent6 3 2 4 4" xfId="10063" xr:uid="{3CB8ACDE-17FF-48F2-B33C-2E52F9CFDD39}"/>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ABBF4D9F-9E7D-4FED-9983-59C3F2EBAFDA}"/>
    <cellStyle name="40% - Accent6 3 2 5 2 3" xfId="12621" xr:uid="{21FD50F0-83B2-413F-8952-AAC6050F4EA1}"/>
    <cellStyle name="40% - Accent6 3 2 5 3" xfId="6252" xr:uid="{00000000-0005-0000-0000-000043070000}"/>
    <cellStyle name="40% - Accent6 3 2 5 3 2" xfId="14694" xr:uid="{2FF3A32A-E0CE-4AE9-9770-311D5E1AD8B6}"/>
    <cellStyle name="40% - Accent6 3 2 5 4" xfId="10476" xr:uid="{F8311A7C-1309-448B-A5D4-CC4C340D5528}"/>
    <cellStyle name="40% - Accent6 3 2 6" xfId="2358" xr:uid="{00000000-0005-0000-0000-000044070000}"/>
    <cellStyle name="40% - Accent6 3 2 6 2" xfId="6665" xr:uid="{00000000-0005-0000-0000-000045070000}"/>
    <cellStyle name="40% - Accent6 3 2 6 2 2" xfId="15107" xr:uid="{39F173CE-4E4A-4FC9-9E7A-D11D881CA716}"/>
    <cellStyle name="40% - Accent6 3 2 6 3" xfId="10889" xr:uid="{534BAE3D-B721-4990-9113-F444824247BB}"/>
    <cellStyle name="40% - Accent6 3 2 7" xfId="4599" xr:uid="{00000000-0005-0000-0000-000046070000}"/>
    <cellStyle name="40% - Accent6 3 2 7 2" xfId="13041" xr:uid="{3E192AD9-95E6-483E-BC5B-4884B8FA6D53}"/>
    <cellStyle name="40% - Accent6 3 2 8" xfId="8823" xr:uid="{51F15B09-DCAA-40C2-AC4C-721130BBA754}"/>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562A92F3-7545-4178-B92D-5A9046457CD2}"/>
    <cellStyle name="40% - Accent6 3 3 2 3" xfId="11381" xr:uid="{40CCB80F-27CC-4C9B-865F-182193F92C4E}"/>
    <cellStyle name="40% - Accent6 3 3 3" xfId="5012" xr:uid="{00000000-0005-0000-0000-00004A070000}"/>
    <cellStyle name="40% - Accent6 3 3 3 2" xfId="13454" xr:uid="{15EE9B40-D27B-4642-A39E-65DBDF418245}"/>
    <cellStyle name="40% - Accent6 3 3 4" xfId="9236" xr:uid="{6CE6B10F-F015-4EBF-A9A7-88CE8593D2EE}"/>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56129EC8-4F67-407F-9E21-AB5E0EA84770}"/>
    <cellStyle name="40% - Accent6 3 4 2 3" xfId="11794" xr:uid="{AB8503A1-78C1-482C-BC8D-A4D3C8C1AE09}"/>
    <cellStyle name="40% - Accent6 3 4 3" xfId="5425" xr:uid="{00000000-0005-0000-0000-00004E070000}"/>
    <cellStyle name="40% - Accent6 3 4 3 2" xfId="13867" xr:uid="{243565CA-327B-4C56-8F63-46195BE486D4}"/>
    <cellStyle name="40% - Accent6 3 4 4" xfId="9649" xr:uid="{4F5C6F6E-11D2-4C65-A4EA-04E62147FFAF}"/>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5C79415D-8098-4D28-B535-B4A4248365A4}"/>
    <cellStyle name="40% - Accent6 3 5 2 3" xfId="12207" xr:uid="{D8F0EC91-ACF9-4A7A-88E0-54507349E786}"/>
    <cellStyle name="40% - Accent6 3 5 3" xfId="5838" xr:uid="{00000000-0005-0000-0000-000052070000}"/>
    <cellStyle name="40% - Accent6 3 5 3 2" xfId="14280" xr:uid="{D0473AF2-03EF-4496-BEF6-76E24951CA54}"/>
    <cellStyle name="40% - Accent6 3 5 4" xfId="10062" xr:uid="{A9E48879-40E3-44E9-93BC-FCF50EEFE4D2}"/>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6084C111-DC26-42C7-B1E4-D1012E355125}"/>
    <cellStyle name="40% - Accent6 3 6 2 3" xfId="12620" xr:uid="{6E45860E-49D7-4E3A-8710-45DC3706FC44}"/>
    <cellStyle name="40% - Accent6 3 6 3" xfId="6251" xr:uid="{00000000-0005-0000-0000-000056070000}"/>
    <cellStyle name="40% - Accent6 3 6 3 2" xfId="14693" xr:uid="{88E0D02D-901E-4987-BDC5-97B54E61B307}"/>
    <cellStyle name="40% - Accent6 3 6 4" xfId="10475" xr:uid="{BE80FA56-E0FA-4683-8344-00ED1895E4C7}"/>
    <cellStyle name="40% - Accent6 3 7" xfId="2357" xr:uid="{00000000-0005-0000-0000-000057070000}"/>
    <cellStyle name="40% - Accent6 3 7 2" xfId="6664" xr:uid="{00000000-0005-0000-0000-000058070000}"/>
    <cellStyle name="40% - Accent6 3 7 2 2" xfId="15106" xr:uid="{5DCC2F59-5C18-4D44-A816-9A6D94C1B6E1}"/>
    <cellStyle name="40% - Accent6 3 7 3" xfId="10888" xr:uid="{18DD0259-3576-46A8-8575-5AAAB82556D6}"/>
    <cellStyle name="40% - Accent6 3 8" xfId="4598" xr:uid="{00000000-0005-0000-0000-000059070000}"/>
    <cellStyle name="40% - Accent6 3 8 2" xfId="13040" xr:uid="{E884DA7C-03A1-407C-84B4-07E1CDDE6F28}"/>
    <cellStyle name="40% - Accent6 3 9" xfId="8822" xr:uid="{0D052F59-CFE4-4786-8517-B09FD8B2C01D}"/>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DAAA992B-494A-4730-AAAA-9B6E26964AB5}"/>
    <cellStyle name="40% - Accent6 4 2 2 3" xfId="11383" xr:uid="{E4767F9E-D00F-49DC-BC1A-B36D1189A54A}"/>
    <cellStyle name="40% - Accent6 4 2 3" xfId="5014" xr:uid="{00000000-0005-0000-0000-00005E070000}"/>
    <cellStyle name="40% - Accent6 4 2 3 2" xfId="13456" xr:uid="{2F798709-7A8E-4D15-80CE-53B1727E08B8}"/>
    <cellStyle name="40% - Accent6 4 2 4" xfId="9238" xr:uid="{61047739-2CAF-4456-95DE-0DF4DF75FEC4}"/>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7379D70C-0E26-4DDE-B47B-0F81E9B00567}"/>
    <cellStyle name="40% - Accent6 4 3 2 3" xfId="11796" xr:uid="{6E9F85B0-18EE-458B-BE43-BF5CCF36EE07}"/>
    <cellStyle name="40% - Accent6 4 3 3" xfId="5427" xr:uid="{00000000-0005-0000-0000-000062070000}"/>
    <cellStyle name="40% - Accent6 4 3 3 2" xfId="13869" xr:uid="{586DA92B-9123-4961-B2DB-772934F8BECD}"/>
    <cellStyle name="40% - Accent6 4 3 4" xfId="9651" xr:uid="{7C713516-46CB-4CD2-9C74-D2CBD8E73DCD}"/>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F0063D12-0FDB-4B96-9FC8-1CDBB302FC1E}"/>
    <cellStyle name="40% - Accent6 4 4 2 3" xfId="12209" xr:uid="{4B10DA0F-993C-4AA4-BE6C-E2141F47D5DD}"/>
    <cellStyle name="40% - Accent6 4 4 3" xfId="5840" xr:uid="{00000000-0005-0000-0000-000066070000}"/>
    <cellStyle name="40% - Accent6 4 4 3 2" xfId="14282" xr:uid="{A7BAF057-DCAE-45B2-AE46-B01F12980FF1}"/>
    <cellStyle name="40% - Accent6 4 4 4" xfId="10064" xr:uid="{267DFB96-58E8-460C-8DD1-804D6B8D5F2A}"/>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2B7FFB83-E407-44DB-9488-51943B52004C}"/>
    <cellStyle name="40% - Accent6 4 5 2 3" xfId="12622" xr:uid="{BCB846FB-A37B-4F5E-BF6E-B8634FB4D49E}"/>
    <cellStyle name="40% - Accent6 4 5 3" xfId="6253" xr:uid="{00000000-0005-0000-0000-00006A070000}"/>
    <cellStyle name="40% - Accent6 4 5 3 2" xfId="14695" xr:uid="{CA28BB7E-F51D-42E9-9FD6-1F47450C9589}"/>
    <cellStyle name="40% - Accent6 4 5 4" xfId="10477" xr:uid="{65FC734A-D6C6-498F-B91C-11FD7FB98C22}"/>
    <cellStyle name="40% - Accent6 4 6" xfId="2359" xr:uid="{00000000-0005-0000-0000-00006B070000}"/>
    <cellStyle name="40% - Accent6 4 6 2" xfId="6666" xr:uid="{00000000-0005-0000-0000-00006C070000}"/>
    <cellStyle name="40% - Accent6 4 6 2 2" xfId="15108" xr:uid="{C2CF8059-223B-47DB-B288-8ABDE3365D47}"/>
    <cellStyle name="40% - Accent6 4 6 3" xfId="10890" xr:uid="{1657B4B0-EF11-4371-AF49-986B6AF8CED3}"/>
    <cellStyle name="40% - Accent6 4 7" xfId="4600" xr:uid="{00000000-0005-0000-0000-00006D070000}"/>
    <cellStyle name="40% - Accent6 4 7 2" xfId="13042" xr:uid="{C5C120FA-9B4D-4426-A987-98E8ADDE152D}"/>
    <cellStyle name="40% - Accent6 4 8" xfId="8824" xr:uid="{F9B50504-0CA5-467C-B31A-0BAB2429A81F}"/>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EBE37A87-30D4-4171-B03A-C00281C72E8B}"/>
    <cellStyle name="40% - Accent6 5 2 3" xfId="11376" xr:uid="{8E77DCE4-736A-4678-B564-BE60A7ED28FB}"/>
    <cellStyle name="40% - Accent6 5 3" xfId="5007" xr:uid="{00000000-0005-0000-0000-000071070000}"/>
    <cellStyle name="40% - Accent6 5 3 2" xfId="13449" xr:uid="{43697FCB-9379-46BA-BB49-9117422DD8CC}"/>
    <cellStyle name="40% - Accent6 5 4" xfId="9231" xr:uid="{E009296E-FFAD-4105-92CF-02B78A17715C}"/>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7CA33452-36E1-4858-BB14-59948724DEF9}"/>
    <cellStyle name="40% - Accent6 6 2 3" xfId="11789" xr:uid="{C976F727-2B77-4BA5-B904-D3C2736BEB3F}"/>
    <cellStyle name="40% - Accent6 6 3" xfId="5420" xr:uid="{00000000-0005-0000-0000-000075070000}"/>
    <cellStyle name="40% - Accent6 6 3 2" xfId="13862" xr:uid="{A1BE13EB-7C3B-48A4-858B-F56B2D46CD4E}"/>
    <cellStyle name="40% - Accent6 6 4" xfId="9644" xr:uid="{F3A9C5A3-E9A3-45FF-9763-0821A7CBE156}"/>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186B70A9-FA14-4CA8-B3A3-CE84745A9EFD}"/>
    <cellStyle name="40% - Accent6 7 2 3" xfId="12202" xr:uid="{E1936542-A33A-4C30-B7D3-89BBCBE2BB03}"/>
    <cellStyle name="40% - Accent6 7 3" xfId="5833" xr:uid="{00000000-0005-0000-0000-000079070000}"/>
    <cellStyle name="40% - Accent6 7 3 2" xfId="14275" xr:uid="{2302F1E4-4F01-4C0C-8632-96C18C25235E}"/>
    <cellStyle name="40% - Accent6 7 4" xfId="10057" xr:uid="{E585A7FF-03D7-4BE1-A503-B9675983F3D5}"/>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5BB3DD76-405F-4B5B-868C-14CF57CBDD5B}"/>
    <cellStyle name="40% - Accent6 8 2 3" xfId="12615" xr:uid="{874BFFA4-8DB4-4ADB-8C33-83B1BA329BAB}"/>
    <cellStyle name="40% - Accent6 8 3" xfId="6246" xr:uid="{00000000-0005-0000-0000-00007D070000}"/>
    <cellStyle name="40% - Accent6 8 3 2" xfId="14688" xr:uid="{031F68D6-E8E1-4F54-A9B5-BDDE3A13BF40}"/>
    <cellStyle name="40% - Accent6 8 4" xfId="10470" xr:uid="{D0F831A2-F940-44C1-8225-01561E4BE031}"/>
    <cellStyle name="40% - Accent6 9" xfId="2352" xr:uid="{00000000-0005-0000-0000-00007E070000}"/>
    <cellStyle name="40% - Accent6 9 2" xfId="6659" xr:uid="{00000000-0005-0000-0000-00007F070000}"/>
    <cellStyle name="40% - Accent6 9 2 2" xfId="15101" xr:uid="{0061BC25-4522-4573-A5BD-FF25F8EB127C}"/>
    <cellStyle name="40% - Accent6 9 3" xfId="10883" xr:uid="{ED33AD6B-26DF-479C-AE53-D70FBA79E23C}"/>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EECB14F9-6244-4A7D-A5EE-6F66B9F7EF85}"/>
    <cellStyle name="Comma 4 2 2 2 10 3" xfId="11208" xr:uid="{B4FEBA0D-2949-42B9-AB1B-FE39CFAE7857}"/>
    <cellStyle name="Comma 4 2 2 2 11" xfId="4601" xr:uid="{00000000-0005-0000-0000-0000A3070000}"/>
    <cellStyle name="Comma 4 2 2 2 11 2" xfId="13043" xr:uid="{0DF17B29-0B06-45FA-A587-65EC906A467B}"/>
    <cellStyle name="Comma 4 2 2 2 12" xfId="8825" xr:uid="{18F13716-1F91-45A9-834F-6DF3517B83AF}"/>
    <cellStyle name="Comma 4 2 2 2 2" xfId="129" xr:uid="{00000000-0005-0000-0000-0000A4070000}"/>
    <cellStyle name="Comma 4 2 2 2 2 10" xfId="4602" xr:uid="{00000000-0005-0000-0000-0000A5070000}"/>
    <cellStyle name="Comma 4 2 2 2 2 10 2" xfId="13044" xr:uid="{9C82FCD2-9185-49ED-AD74-3ABB36A3F553}"/>
    <cellStyle name="Comma 4 2 2 2 2 11" xfId="8826" xr:uid="{A9C2F3F1-6252-4A2E-92B3-166413255B8F}"/>
    <cellStyle name="Comma 4 2 2 2 2 2" xfId="130" xr:uid="{00000000-0005-0000-0000-0000A6070000}"/>
    <cellStyle name="Comma 4 2 2 2 2 2 10" xfId="8827" xr:uid="{4ABF9480-BF23-4390-ADB1-DA531A86127A}"/>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CED41A82-9C8B-47B9-B45B-D193B99FF1B9}"/>
    <cellStyle name="Comma 4 2 2 2 2 2 2 2 3" xfId="11386" xr:uid="{02B374AF-45B5-4606-9CA9-346D94765111}"/>
    <cellStyle name="Comma 4 2 2 2 2 2 2 3" xfId="5017" xr:uid="{00000000-0005-0000-0000-0000AA070000}"/>
    <cellStyle name="Comma 4 2 2 2 2 2 2 3 2" xfId="13459" xr:uid="{6B748F5D-7653-4661-ADE7-C1528364DE2C}"/>
    <cellStyle name="Comma 4 2 2 2 2 2 2 4" xfId="9241" xr:uid="{44EA54EC-F143-480B-A2E1-25BBE63FB26D}"/>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5E55881A-40EC-43F0-A96C-809A652B27FB}"/>
    <cellStyle name="Comma 4 2 2 2 2 2 3 2 3" xfId="11799" xr:uid="{67929126-4E67-490A-8AAC-6A0A302AC75B}"/>
    <cellStyle name="Comma 4 2 2 2 2 2 3 3" xfId="5430" xr:uid="{00000000-0005-0000-0000-0000AE070000}"/>
    <cellStyle name="Comma 4 2 2 2 2 2 3 3 2" xfId="13872" xr:uid="{D8120017-9411-41FA-B809-FB490F165C97}"/>
    <cellStyle name="Comma 4 2 2 2 2 2 3 4" xfId="9654" xr:uid="{FAB568BA-A4D8-4CE1-881E-0EA165D101B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D4DB6601-84E0-43D8-9A2F-BCE1A53585F6}"/>
    <cellStyle name="Comma 4 2 2 2 2 2 4 2 3" xfId="12212" xr:uid="{9FBCE3B8-B374-40CE-9DB0-FD4168CE9B91}"/>
    <cellStyle name="Comma 4 2 2 2 2 2 4 3" xfId="5843" xr:uid="{00000000-0005-0000-0000-0000B2070000}"/>
    <cellStyle name="Comma 4 2 2 2 2 2 4 3 2" xfId="14285" xr:uid="{24DEFAA8-167B-494B-8635-E2A83D7DA490}"/>
    <cellStyle name="Comma 4 2 2 2 2 2 4 4" xfId="10067" xr:uid="{E77FA3A6-0A8E-4FD0-A538-D113622B4F65}"/>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9ACDD3C7-43EA-4289-8020-83B5C9B04D07}"/>
    <cellStyle name="Comma 4 2 2 2 2 2 5 2 3" xfId="12625" xr:uid="{00BB818B-AE00-4606-9608-2A2B88115FA0}"/>
    <cellStyle name="Comma 4 2 2 2 2 2 5 3" xfId="6256" xr:uid="{00000000-0005-0000-0000-0000B6070000}"/>
    <cellStyle name="Comma 4 2 2 2 2 2 5 3 2" xfId="14698" xr:uid="{4CC38440-7F40-4E8C-B63C-601142CB3C8F}"/>
    <cellStyle name="Comma 4 2 2 2 2 2 5 4" xfId="10480" xr:uid="{DC93D5DB-DF97-4453-8731-75D7AE20BEB3}"/>
    <cellStyle name="Comma 4 2 2 2 2 2 6" xfId="2384" xr:uid="{00000000-0005-0000-0000-0000B7070000}"/>
    <cellStyle name="Comma 4 2 2 2 2 2 6 2" xfId="6669" xr:uid="{00000000-0005-0000-0000-0000B8070000}"/>
    <cellStyle name="Comma 4 2 2 2 2 2 6 2 2" xfId="15111" xr:uid="{B112A2C1-AC48-4CEB-BDD3-021F6FB6D6A1}"/>
    <cellStyle name="Comma 4 2 2 2 2 2 6 3" xfId="10893" xr:uid="{2F961B9C-8E0B-4776-952C-CC07EE0D6559}"/>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BE8181B7-12D6-4C20-81EA-2907CB5FC608}"/>
    <cellStyle name="Comma 4 2 2 2 2 2 8 3" xfId="11210" xr:uid="{43E23DC2-F509-45E2-A455-22FB56523ED6}"/>
    <cellStyle name="Comma 4 2 2 2 2 2 9" xfId="4603" xr:uid="{00000000-0005-0000-0000-0000BC070000}"/>
    <cellStyle name="Comma 4 2 2 2 2 2 9 2" xfId="13045" xr:uid="{82D748AB-CA2F-4E62-A0E4-D144D430532D}"/>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0754E158-4A70-456B-977D-12079F9DB2BE}"/>
    <cellStyle name="Comma 4 2 2 2 2 3 2 3" xfId="11385" xr:uid="{BAE8FA09-81C6-4CF3-81A3-6F279F408109}"/>
    <cellStyle name="Comma 4 2 2 2 2 3 3" xfId="5016" xr:uid="{00000000-0005-0000-0000-0000C0070000}"/>
    <cellStyle name="Comma 4 2 2 2 2 3 3 2" xfId="13458" xr:uid="{5CB70626-6B85-414C-932C-54F7FE3612AE}"/>
    <cellStyle name="Comma 4 2 2 2 2 3 4" xfId="9240" xr:uid="{F584B88B-7A10-4118-997A-0AA0B175736A}"/>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5931451A-6D9F-4DB3-8FF2-27BE84527D76}"/>
    <cellStyle name="Comma 4 2 2 2 2 4 2 3" xfId="11798" xr:uid="{7DDD826B-2C3A-4738-9386-8819DA3274A1}"/>
    <cellStyle name="Comma 4 2 2 2 2 4 3" xfId="5429" xr:uid="{00000000-0005-0000-0000-0000C4070000}"/>
    <cellStyle name="Comma 4 2 2 2 2 4 3 2" xfId="13871" xr:uid="{DD8FCCDD-111F-43C2-9B83-B69E16875DC3}"/>
    <cellStyle name="Comma 4 2 2 2 2 4 4" xfId="9653" xr:uid="{7C2A0105-494A-47E0-9664-F544099B4F45}"/>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D597894D-26C7-4A8D-AD47-D499D979B603}"/>
    <cellStyle name="Comma 4 2 2 2 2 5 2 3" xfId="12211" xr:uid="{E7A6B89F-BC50-4F87-8B45-2328ABBDB7F3}"/>
    <cellStyle name="Comma 4 2 2 2 2 5 3" xfId="5842" xr:uid="{00000000-0005-0000-0000-0000C8070000}"/>
    <cellStyle name="Comma 4 2 2 2 2 5 3 2" xfId="14284" xr:uid="{F423D65F-6E4F-4B22-B111-ED6DD1BE784B}"/>
    <cellStyle name="Comma 4 2 2 2 2 5 4" xfId="10066" xr:uid="{D80B9BFA-ADC8-439A-9FA5-11F144A9DA1B}"/>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C2FA3016-6E71-48C1-850B-03A6EDB36696}"/>
    <cellStyle name="Comma 4 2 2 2 2 6 2 3" xfId="12624" xr:uid="{342BB4CE-3F84-4B60-B88F-C2CCC24CEB4F}"/>
    <cellStyle name="Comma 4 2 2 2 2 6 3" xfId="6255" xr:uid="{00000000-0005-0000-0000-0000CC070000}"/>
    <cellStyle name="Comma 4 2 2 2 2 6 3 2" xfId="14697" xr:uid="{10C08141-CE06-474A-9F77-6989C1405DE6}"/>
    <cellStyle name="Comma 4 2 2 2 2 6 4" xfId="10479" xr:uid="{37EA1568-9FFC-4C6E-A8D2-359F4B40C2B8}"/>
    <cellStyle name="Comma 4 2 2 2 2 7" xfId="2383" xr:uid="{00000000-0005-0000-0000-0000CD070000}"/>
    <cellStyle name="Comma 4 2 2 2 2 7 2" xfId="6668" xr:uid="{00000000-0005-0000-0000-0000CE070000}"/>
    <cellStyle name="Comma 4 2 2 2 2 7 2 2" xfId="15110" xr:uid="{1197A529-01C8-4332-9745-F7A5E3FF6E93}"/>
    <cellStyle name="Comma 4 2 2 2 2 7 3" xfId="10892" xr:uid="{065C56E6-06D9-4EC8-97BB-9F33A9640458}"/>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6282B3B9-D711-420D-8EC4-31014A678656}"/>
    <cellStyle name="Comma 4 2 2 2 2 9 3" xfId="11209" xr:uid="{4C568D5E-365B-470A-9D9F-8D10CE1B8106}"/>
    <cellStyle name="Comma 4 2 2 2 3" xfId="131" xr:uid="{00000000-0005-0000-0000-0000D2070000}"/>
    <cellStyle name="Comma 4 2 2 2 3 10" xfId="8828" xr:uid="{6E63C055-73A1-40DD-8A8D-8697EC3AA375}"/>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B11B46C8-4887-4426-A817-5EEE513D0712}"/>
    <cellStyle name="Comma 4 2 2 2 3 2 2 3" xfId="11387" xr:uid="{8F719F2B-C3D2-47CA-BE95-9871A154B526}"/>
    <cellStyle name="Comma 4 2 2 2 3 2 3" xfId="5018" xr:uid="{00000000-0005-0000-0000-0000D6070000}"/>
    <cellStyle name="Comma 4 2 2 2 3 2 3 2" xfId="13460" xr:uid="{ABD9C9AB-FD35-48EA-98BE-8799922AE5D0}"/>
    <cellStyle name="Comma 4 2 2 2 3 2 4" xfId="9242" xr:uid="{735B6516-058B-4C55-A86E-9DE509AA8DB5}"/>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3818CA85-20C4-4F40-8B17-12D58AE49AF0}"/>
    <cellStyle name="Comma 4 2 2 2 3 3 2 3" xfId="11800" xr:uid="{D41DED36-E963-4AFE-B908-FBC95D58B8BE}"/>
    <cellStyle name="Comma 4 2 2 2 3 3 3" xfId="5431" xr:uid="{00000000-0005-0000-0000-0000DA070000}"/>
    <cellStyle name="Comma 4 2 2 2 3 3 3 2" xfId="13873" xr:uid="{A35D0989-E3E3-46DB-B24D-62BC07B4B52F}"/>
    <cellStyle name="Comma 4 2 2 2 3 3 4" xfId="9655" xr:uid="{001FD8E4-0243-4CA4-8D8A-91EC8E5AA353}"/>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FD6C35D2-0B59-4A49-9239-88FA843E012F}"/>
    <cellStyle name="Comma 4 2 2 2 3 4 2 3" xfId="12213" xr:uid="{C398A1AC-25C8-4B42-BDBF-4C9BB4C531E9}"/>
    <cellStyle name="Comma 4 2 2 2 3 4 3" xfId="5844" xr:uid="{00000000-0005-0000-0000-0000DE070000}"/>
    <cellStyle name="Comma 4 2 2 2 3 4 3 2" xfId="14286" xr:uid="{638F4C00-8011-4583-9C63-3E249B0E0CB4}"/>
    <cellStyle name="Comma 4 2 2 2 3 4 4" xfId="10068" xr:uid="{DEA54349-17D3-4683-87BA-F6345A61EF13}"/>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F8E91607-E590-4B6C-A5B1-6DB43F4CD7B8}"/>
    <cellStyle name="Comma 4 2 2 2 3 5 2 3" xfId="12626" xr:uid="{BCE86EAD-FF93-42B9-AEEA-48E727260542}"/>
    <cellStyle name="Comma 4 2 2 2 3 5 3" xfId="6257" xr:uid="{00000000-0005-0000-0000-0000E2070000}"/>
    <cellStyle name="Comma 4 2 2 2 3 5 3 2" xfId="14699" xr:uid="{D825645A-CE52-4FB4-AA7E-8C657351BDFA}"/>
    <cellStyle name="Comma 4 2 2 2 3 5 4" xfId="10481" xr:uid="{482F2335-0C2A-4CEF-9A94-126B3B15ADAA}"/>
    <cellStyle name="Comma 4 2 2 2 3 6" xfId="2385" xr:uid="{00000000-0005-0000-0000-0000E3070000}"/>
    <cellStyle name="Comma 4 2 2 2 3 6 2" xfId="6670" xr:uid="{00000000-0005-0000-0000-0000E4070000}"/>
    <cellStyle name="Comma 4 2 2 2 3 6 2 2" xfId="15112" xr:uid="{FF29DD84-64A2-47C7-AB57-716E6D08CF81}"/>
    <cellStyle name="Comma 4 2 2 2 3 6 3" xfId="10894" xr:uid="{CDD6F905-C1B7-4633-98DD-1F0665812EEB}"/>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C0A99137-C6D8-4810-B62B-68A86F93E200}"/>
    <cellStyle name="Comma 4 2 2 2 3 8 3" xfId="11211" xr:uid="{DDD0F93C-7A02-4FE3-9B5E-02BFB034D966}"/>
    <cellStyle name="Comma 4 2 2 2 3 9" xfId="4604" xr:uid="{00000000-0005-0000-0000-0000E8070000}"/>
    <cellStyle name="Comma 4 2 2 2 3 9 2" xfId="13046" xr:uid="{E71F1036-807C-4569-8109-EC06E6901ECB}"/>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F2F7CC44-10FD-4421-8C8E-3AA537F291CB}"/>
    <cellStyle name="Comma 4 2 2 2 4 2 3" xfId="11384" xr:uid="{389E5188-0ABA-4C78-8FFB-5ED1C5055E28}"/>
    <cellStyle name="Comma 4 2 2 2 4 3" xfId="5015" xr:uid="{00000000-0005-0000-0000-0000EC070000}"/>
    <cellStyle name="Comma 4 2 2 2 4 3 2" xfId="13457" xr:uid="{F3EF7C69-71CB-4079-B8EF-EA1D32D84D22}"/>
    <cellStyle name="Comma 4 2 2 2 4 4" xfId="9239" xr:uid="{A2EEAC1D-873E-482E-B51C-B228541DC761}"/>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30EF9C4F-08F8-4DCF-84B5-8FA7296CC98E}"/>
    <cellStyle name="Comma 4 2 2 2 5 2 3" xfId="11797" xr:uid="{315932F6-FD03-4897-8469-71395109D333}"/>
    <cellStyle name="Comma 4 2 2 2 5 3" xfId="5428" xr:uid="{00000000-0005-0000-0000-0000F0070000}"/>
    <cellStyle name="Comma 4 2 2 2 5 3 2" xfId="13870" xr:uid="{D1A62D30-C069-4606-85A7-37D3F087321C}"/>
    <cellStyle name="Comma 4 2 2 2 5 4" xfId="9652" xr:uid="{C1F6CBDA-CED7-4F89-8D88-4086AB9EB58D}"/>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8BBA8C36-6B4E-43F7-9C92-B70CEF5E2184}"/>
    <cellStyle name="Comma 4 2 2 2 6 2 3" xfId="12210" xr:uid="{61ED2459-D66C-41DC-8486-ACBDBFD4A214}"/>
    <cellStyle name="Comma 4 2 2 2 6 3" xfId="5841" xr:uid="{00000000-0005-0000-0000-0000F4070000}"/>
    <cellStyle name="Comma 4 2 2 2 6 3 2" xfId="14283" xr:uid="{A8772CAA-F565-42CF-9CBD-9F29CFA62625}"/>
    <cellStyle name="Comma 4 2 2 2 6 4" xfId="10065" xr:uid="{D98594A0-03A9-4798-A1C5-FFCC42FBEDDC}"/>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7080C054-1868-4791-BDE4-3C13B37292FD}"/>
    <cellStyle name="Comma 4 2 2 2 7 2 3" xfId="12623" xr:uid="{3A26DE33-20A5-4BC5-83B7-DDA61D85C3CA}"/>
    <cellStyle name="Comma 4 2 2 2 7 3" xfId="6254" xr:uid="{00000000-0005-0000-0000-0000F8070000}"/>
    <cellStyle name="Comma 4 2 2 2 7 3 2" xfId="14696" xr:uid="{282B383E-D876-49CB-A195-AF56BB6BDA6F}"/>
    <cellStyle name="Comma 4 2 2 2 7 4" xfId="10478" xr:uid="{0054626E-0ED9-44EC-8C5B-21031E10EB70}"/>
    <cellStyle name="Comma 4 2 2 2 8" xfId="2382" xr:uid="{00000000-0005-0000-0000-0000F9070000}"/>
    <cellStyle name="Comma 4 2 2 2 8 2" xfId="6667" xr:uid="{00000000-0005-0000-0000-0000FA070000}"/>
    <cellStyle name="Comma 4 2 2 2 8 2 2" xfId="15109" xr:uid="{BC1838A2-4D83-43A9-AB95-BE9678DA000A}"/>
    <cellStyle name="Comma 4 2 2 2 8 3" xfId="10891" xr:uid="{3BDA75D9-290E-4559-81E1-86C0F3FEA3C7}"/>
    <cellStyle name="Comma 4 2 2 2 9" xfId="2381" xr:uid="{00000000-0005-0000-0000-0000FB070000}"/>
    <cellStyle name="Comma 4 2 2 3" xfId="132" xr:uid="{00000000-0005-0000-0000-0000FC070000}"/>
    <cellStyle name="Comma 4 2 2 3 10" xfId="4605" xr:uid="{00000000-0005-0000-0000-0000FD070000}"/>
    <cellStyle name="Comma 4 2 2 3 10 2" xfId="13047" xr:uid="{4DD7FCBF-01F2-41BB-9707-52B1EABDF01A}"/>
    <cellStyle name="Comma 4 2 2 3 11" xfId="8829" xr:uid="{1C51220E-6139-4A7F-A13F-1A780AF22F5B}"/>
    <cellStyle name="Comma 4 2 2 3 2" xfId="133" xr:uid="{00000000-0005-0000-0000-0000FE070000}"/>
    <cellStyle name="Comma 4 2 2 3 2 10" xfId="8830" xr:uid="{BFFD1A5F-EF37-4AEF-A751-F75AD9645A5A}"/>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BC634317-0737-4801-AE2D-02F12EFE5CC5}"/>
    <cellStyle name="Comma 4 2 2 3 2 2 2 3" xfId="11389" xr:uid="{EEF9514A-E120-4FBE-A7A2-9C7E1ACF3BFC}"/>
    <cellStyle name="Comma 4 2 2 3 2 2 3" xfId="5020" xr:uid="{00000000-0005-0000-0000-000002080000}"/>
    <cellStyle name="Comma 4 2 2 3 2 2 3 2" xfId="13462" xr:uid="{7C587B97-1979-46F7-8AE7-CB090E15D7E9}"/>
    <cellStyle name="Comma 4 2 2 3 2 2 4" xfId="9244" xr:uid="{27237DEB-28A3-4E45-A977-F7C23A6A57DE}"/>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17E34ABD-0037-4162-9110-369E01C2D646}"/>
    <cellStyle name="Comma 4 2 2 3 2 3 2 3" xfId="11802" xr:uid="{3D9828E0-8FE8-403F-ABCD-9A7BC9C4CD59}"/>
    <cellStyle name="Comma 4 2 2 3 2 3 3" xfId="5433" xr:uid="{00000000-0005-0000-0000-000006080000}"/>
    <cellStyle name="Comma 4 2 2 3 2 3 3 2" xfId="13875" xr:uid="{CAB262CD-BBC8-4F15-9847-2CD090E23CE1}"/>
    <cellStyle name="Comma 4 2 2 3 2 3 4" xfId="9657" xr:uid="{D0D65F6A-A1E5-45A7-9D1C-D38990ABB559}"/>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84307D25-7028-4969-8D59-00B2D04B4A51}"/>
    <cellStyle name="Comma 4 2 2 3 2 4 2 3" xfId="12215" xr:uid="{F07E6887-8854-4442-BDF6-C690514A27FF}"/>
    <cellStyle name="Comma 4 2 2 3 2 4 3" xfId="5846" xr:uid="{00000000-0005-0000-0000-00000A080000}"/>
    <cellStyle name="Comma 4 2 2 3 2 4 3 2" xfId="14288" xr:uid="{D2345C18-A6A1-442D-AD83-80BC87CAC0A0}"/>
    <cellStyle name="Comma 4 2 2 3 2 4 4" xfId="10070" xr:uid="{519FC145-354F-4F68-AE4E-8C273A2ECD17}"/>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7D32C4C2-F24B-4138-9EAE-AD4C5984F77B}"/>
    <cellStyle name="Comma 4 2 2 3 2 5 2 3" xfId="12628" xr:uid="{F552C9FD-0B25-47D9-93B8-46CAB6A7C344}"/>
    <cellStyle name="Comma 4 2 2 3 2 5 3" xfId="6259" xr:uid="{00000000-0005-0000-0000-00000E080000}"/>
    <cellStyle name="Comma 4 2 2 3 2 5 3 2" xfId="14701" xr:uid="{018C6010-1C5F-4407-85CA-9ABE5D36E200}"/>
    <cellStyle name="Comma 4 2 2 3 2 5 4" xfId="10483" xr:uid="{505F8BBB-849F-4DFD-B4BD-981975356B79}"/>
    <cellStyle name="Comma 4 2 2 3 2 6" xfId="2387" xr:uid="{00000000-0005-0000-0000-00000F080000}"/>
    <cellStyle name="Comma 4 2 2 3 2 6 2" xfId="6672" xr:uid="{00000000-0005-0000-0000-000010080000}"/>
    <cellStyle name="Comma 4 2 2 3 2 6 2 2" xfId="15114" xr:uid="{615D92B6-2EC9-48AA-9A14-D89D3887A198}"/>
    <cellStyle name="Comma 4 2 2 3 2 6 3" xfId="10896" xr:uid="{D611B51E-3723-4D63-95AF-AD2CCFEA0379}"/>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ACBC6267-A08A-48C9-959F-50854CC8AF97}"/>
    <cellStyle name="Comma 4 2 2 3 2 8 3" xfId="11213" xr:uid="{173771E7-AE48-49C5-9536-857B8DE3F8FE}"/>
    <cellStyle name="Comma 4 2 2 3 2 9" xfId="4606" xr:uid="{00000000-0005-0000-0000-000014080000}"/>
    <cellStyle name="Comma 4 2 2 3 2 9 2" xfId="13048" xr:uid="{23107A51-850E-4A03-834C-B7AA21590E83}"/>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A20B7255-97C9-4110-BBD6-74AFCFED73E7}"/>
    <cellStyle name="Comma 4 2 2 3 3 2 3" xfId="11388" xr:uid="{631BE8EA-1D9C-4C36-9999-EE77623C114E}"/>
    <cellStyle name="Comma 4 2 2 3 3 3" xfId="5019" xr:uid="{00000000-0005-0000-0000-000018080000}"/>
    <cellStyle name="Comma 4 2 2 3 3 3 2" xfId="13461" xr:uid="{B8F10092-1D76-4E29-95FC-3F5B268AF723}"/>
    <cellStyle name="Comma 4 2 2 3 3 4" xfId="9243" xr:uid="{22D6E4B5-ACDB-4097-87FB-E9ECFFE4F028}"/>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F8C13146-13A4-4A0B-ADED-2640744F0695}"/>
    <cellStyle name="Comma 4 2 2 3 4 2 3" xfId="11801" xr:uid="{D38D650A-DE51-4798-8244-30E2CBD1D965}"/>
    <cellStyle name="Comma 4 2 2 3 4 3" xfId="5432" xr:uid="{00000000-0005-0000-0000-00001C080000}"/>
    <cellStyle name="Comma 4 2 2 3 4 3 2" xfId="13874" xr:uid="{B09133FB-6683-456B-B3F6-7A6A565EBA69}"/>
    <cellStyle name="Comma 4 2 2 3 4 4" xfId="9656" xr:uid="{E85A8597-10BF-42D3-96C9-121862A3C731}"/>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B792C404-900F-4DC3-9D4C-99047CA4B9D1}"/>
    <cellStyle name="Comma 4 2 2 3 5 2 3" xfId="12214" xr:uid="{94B3B909-098E-4784-99B2-581F9018BA03}"/>
    <cellStyle name="Comma 4 2 2 3 5 3" xfId="5845" xr:uid="{00000000-0005-0000-0000-000020080000}"/>
    <cellStyle name="Comma 4 2 2 3 5 3 2" xfId="14287" xr:uid="{C3CB1FD6-FB04-4CD0-BAD3-D4837936B81F}"/>
    <cellStyle name="Comma 4 2 2 3 5 4" xfId="10069" xr:uid="{AFF73358-BD25-4F26-B833-D3A7A365AC8A}"/>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91DAB2E9-0BED-43D1-B82D-94A4DF2A40F0}"/>
    <cellStyle name="Comma 4 2 2 3 6 2 3" xfId="12627" xr:uid="{16724DBA-FCF5-4B3D-BA03-D0D49CAE44BF}"/>
    <cellStyle name="Comma 4 2 2 3 6 3" xfId="6258" xr:uid="{00000000-0005-0000-0000-000024080000}"/>
    <cellStyle name="Comma 4 2 2 3 6 3 2" xfId="14700" xr:uid="{06E3C6E7-7BD2-484C-B1F1-9E2190D2673B}"/>
    <cellStyle name="Comma 4 2 2 3 6 4" xfId="10482" xr:uid="{173FCB5D-A1A7-41D9-86AD-203A1CDE54AC}"/>
    <cellStyle name="Comma 4 2 2 3 7" xfId="2386" xr:uid="{00000000-0005-0000-0000-000025080000}"/>
    <cellStyle name="Comma 4 2 2 3 7 2" xfId="6671" xr:uid="{00000000-0005-0000-0000-000026080000}"/>
    <cellStyle name="Comma 4 2 2 3 7 2 2" xfId="15113" xr:uid="{3D3CE5C0-7501-4E0F-B602-4112D4C4C0C4}"/>
    <cellStyle name="Comma 4 2 2 3 7 3" xfId="10895" xr:uid="{03A85736-B363-4604-88F5-78E15B0F83E3}"/>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9F092E4E-54B7-4C7A-ABC7-C747C51777FD}"/>
    <cellStyle name="Comma 4 2 2 3 9 3" xfId="11212" xr:uid="{8943E52C-53F0-4589-9F98-75F4A2ACFB31}"/>
    <cellStyle name="Comma 4 2 2 4" xfId="134" xr:uid="{00000000-0005-0000-0000-00002A080000}"/>
    <cellStyle name="Comma 4 2 2 4 10" xfId="8831" xr:uid="{463EAB75-CF4F-49E1-9A71-C38284A387C5}"/>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0A3DEE16-42A6-4270-A320-83D75AC2F179}"/>
    <cellStyle name="Comma 4 2 2 4 2 2 3" xfId="11390" xr:uid="{0DC90D7B-A182-434E-9CC3-7AEFB00AF29A}"/>
    <cellStyle name="Comma 4 2 2 4 2 3" xfId="5021" xr:uid="{00000000-0005-0000-0000-00002E080000}"/>
    <cellStyle name="Comma 4 2 2 4 2 3 2" xfId="13463" xr:uid="{4D947AA9-6898-42F2-AB69-B3B284A2F292}"/>
    <cellStyle name="Comma 4 2 2 4 2 4" xfId="9245" xr:uid="{9D60D756-0B4F-475D-8CF5-D8E2090DC4C8}"/>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C3C865CC-927A-4B6C-86A3-9A2320E0260F}"/>
    <cellStyle name="Comma 4 2 2 4 3 2 3" xfId="11803" xr:uid="{14CF4F55-D13D-4948-ABF5-E10A121E6FB9}"/>
    <cellStyle name="Comma 4 2 2 4 3 3" xfId="5434" xr:uid="{00000000-0005-0000-0000-000032080000}"/>
    <cellStyle name="Comma 4 2 2 4 3 3 2" xfId="13876" xr:uid="{8585E302-D96A-46D8-B52A-423BEC7044E9}"/>
    <cellStyle name="Comma 4 2 2 4 3 4" xfId="9658" xr:uid="{C2132FBE-D037-4514-9D06-2F9458355B47}"/>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E0A37047-5318-4F93-943D-8A774B65FB9F}"/>
    <cellStyle name="Comma 4 2 2 4 4 2 3" xfId="12216" xr:uid="{3D90F92C-64CA-41B6-868A-4A9BD08317DD}"/>
    <cellStyle name="Comma 4 2 2 4 4 3" xfId="5847" xr:uid="{00000000-0005-0000-0000-000036080000}"/>
    <cellStyle name="Comma 4 2 2 4 4 3 2" xfId="14289" xr:uid="{832242E2-AF36-499E-9E2B-0E26B99A4928}"/>
    <cellStyle name="Comma 4 2 2 4 4 4" xfId="10071" xr:uid="{7E08F286-0C5F-472D-BE3A-26307F88A765}"/>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BECF5EE3-7882-41BD-9698-352FEDBE2FAE}"/>
    <cellStyle name="Comma 4 2 2 4 5 2 3" xfId="12629" xr:uid="{BE0B1DC5-BD0D-4764-9A1A-9A68B90105D1}"/>
    <cellStyle name="Comma 4 2 2 4 5 3" xfId="6260" xr:uid="{00000000-0005-0000-0000-00003A080000}"/>
    <cellStyle name="Comma 4 2 2 4 5 3 2" xfId="14702" xr:uid="{D00764EE-1F4A-43BE-A462-CC36AC77EA18}"/>
    <cellStyle name="Comma 4 2 2 4 5 4" xfId="10484" xr:uid="{CB8A79A1-56E4-4F4E-9D15-CBB2D0C9740F}"/>
    <cellStyle name="Comma 4 2 2 4 6" xfId="2388" xr:uid="{00000000-0005-0000-0000-00003B080000}"/>
    <cellStyle name="Comma 4 2 2 4 6 2" xfId="6673" xr:uid="{00000000-0005-0000-0000-00003C080000}"/>
    <cellStyle name="Comma 4 2 2 4 6 2 2" xfId="15115" xr:uid="{6A49BA92-2474-4F11-B4CC-5911D1E3F435}"/>
    <cellStyle name="Comma 4 2 2 4 6 3" xfId="10897" xr:uid="{3AA10F3F-DDC7-402F-884C-61C64B9DA483}"/>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217D9854-E7E5-4331-8604-E9BD8741CFE0}"/>
    <cellStyle name="Comma 4 2 2 4 8 3" xfId="11214" xr:uid="{5E24CBA9-A67E-4946-97D5-960E4D682E19}"/>
    <cellStyle name="Comma 4 2 2 4 9" xfId="4607" xr:uid="{00000000-0005-0000-0000-000040080000}"/>
    <cellStyle name="Comma 4 2 2 4 9 2" xfId="13049" xr:uid="{43FD2AF5-7E67-404F-9275-87A04399FC4D}"/>
    <cellStyle name="Comma 4 2 2 5" xfId="135" xr:uid="{00000000-0005-0000-0000-000041080000}"/>
    <cellStyle name="Comma 4 2 2 5 10" xfId="8832" xr:uid="{D4104A19-D37E-42FB-A12D-05D27B930545}"/>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08128F33-FD63-4333-8517-A7094E579123}"/>
    <cellStyle name="Comma 4 2 2 5 2 2 3" xfId="11391" xr:uid="{980C142B-4D41-4D18-A549-0B63EACA2CCB}"/>
    <cellStyle name="Comma 4 2 2 5 2 3" xfId="5022" xr:uid="{00000000-0005-0000-0000-000045080000}"/>
    <cellStyle name="Comma 4 2 2 5 2 3 2" xfId="13464" xr:uid="{70484B96-87D3-40C7-9EDB-2560E333BAC2}"/>
    <cellStyle name="Comma 4 2 2 5 2 4" xfId="9246" xr:uid="{CC071CBA-CC02-4F31-A5C5-EB96FAD43A4E}"/>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8FAEFCD1-75F5-4A77-ABEE-E07EC9F94583}"/>
    <cellStyle name="Comma 4 2 2 5 3 2 3" xfId="11804" xr:uid="{99204EA1-845C-4FDB-840A-29CAFC9ACBEA}"/>
    <cellStyle name="Comma 4 2 2 5 3 3" xfId="5435" xr:uid="{00000000-0005-0000-0000-000049080000}"/>
    <cellStyle name="Comma 4 2 2 5 3 3 2" xfId="13877" xr:uid="{B2942397-A42D-4A5D-8BEA-FFE0D88AA024}"/>
    <cellStyle name="Comma 4 2 2 5 3 4" xfId="9659" xr:uid="{A4002063-F532-44DA-B3CF-6472C8AD4D0D}"/>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0B9D97C5-67F4-4A9A-9130-C628CFD72911}"/>
    <cellStyle name="Comma 4 2 2 5 4 2 3" xfId="12217" xr:uid="{5A08DEDE-E3D9-4B2F-BD65-2F03267A4478}"/>
    <cellStyle name="Comma 4 2 2 5 4 3" xfId="5848" xr:uid="{00000000-0005-0000-0000-00004D080000}"/>
    <cellStyle name="Comma 4 2 2 5 4 3 2" xfId="14290" xr:uid="{79CB87C4-3340-444A-B3E7-430474C56783}"/>
    <cellStyle name="Comma 4 2 2 5 4 4" xfId="10072" xr:uid="{49A49454-FFAF-47AA-B9FD-0F0D009E3B38}"/>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3F7CC9DD-0B92-4007-A300-C1D5BBDDF9A0}"/>
    <cellStyle name="Comma 4 2 2 5 5 2 3" xfId="12630" xr:uid="{FF1E5592-113A-4D97-B221-EDF1D2F37481}"/>
    <cellStyle name="Comma 4 2 2 5 5 3" xfId="6261" xr:uid="{00000000-0005-0000-0000-000051080000}"/>
    <cellStyle name="Comma 4 2 2 5 5 3 2" xfId="14703" xr:uid="{302FFDE2-8314-4715-A7DB-9336C70F167D}"/>
    <cellStyle name="Comma 4 2 2 5 5 4" xfId="10485" xr:uid="{1D630DFA-2B94-4917-A1B6-B3E8A0CDE104}"/>
    <cellStyle name="Comma 4 2 2 5 6" xfId="2389" xr:uid="{00000000-0005-0000-0000-000052080000}"/>
    <cellStyle name="Comma 4 2 2 5 6 2" xfId="6674" xr:uid="{00000000-0005-0000-0000-000053080000}"/>
    <cellStyle name="Comma 4 2 2 5 6 2 2" xfId="15116" xr:uid="{654C0FF2-ADBA-492E-9164-95478693530D}"/>
    <cellStyle name="Comma 4 2 2 5 6 3" xfId="10898" xr:uid="{C2972DD7-9B1F-4820-A414-DDCA55C5AF10}"/>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F47D484E-438F-40C2-8DF2-B85E26F374E5}"/>
    <cellStyle name="Comma 4 2 2 5 8 3" xfId="11215" xr:uid="{E34E5422-3B4B-4F05-B979-2C7EDA43E18E}"/>
    <cellStyle name="Comma 4 2 2 5 9" xfId="4608" xr:uid="{00000000-0005-0000-0000-000057080000}"/>
    <cellStyle name="Comma 4 2 2 5 9 2" xfId="13050" xr:uid="{B84ACF4E-7D6B-433A-8535-4C48C9B69E6C}"/>
    <cellStyle name="Comma 4 2 3" xfId="136" xr:uid="{00000000-0005-0000-0000-000058080000}"/>
    <cellStyle name="Comma 4 2 3 10" xfId="2768" xr:uid="{00000000-0005-0000-0000-000059080000}"/>
    <cellStyle name="Comma 4 2 3 10 2" xfId="6992" xr:uid="{00000000-0005-0000-0000-00005A080000}"/>
    <cellStyle name="Comma 4 2 3 10 2 2" xfId="15434" xr:uid="{9C571DF7-6ACC-483B-9BE3-D449332DACE4}"/>
    <cellStyle name="Comma 4 2 3 10 3" xfId="11216" xr:uid="{B536F234-BB37-44B0-B3ED-EE601DD5433B}"/>
    <cellStyle name="Comma 4 2 3 11" xfId="4609" xr:uid="{00000000-0005-0000-0000-00005B080000}"/>
    <cellStyle name="Comma 4 2 3 11 2" xfId="13051" xr:uid="{8F82BC9F-A30E-47BB-9AA8-ED46CAF31BDA}"/>
    <cellStyle name="Comma 4 2 3 12" xfId="8833" xr:uid="{2071207B-5DB7-491D-A65A-49B144BE00BF}"/>
    <cellStyle name="Comma 4 2 3 2" xfId="137" xr:uid="{00000000-0005-0000-0000-00005C080000}"/>
    <cellStyle name="Comma 4 2 3 2 10" xfId="4610" xr:uid="{00000000-0005-0000-0000-00005D080000}"/>
    <cellStyle name="Comma 4 2 3 2 10 2" xfId="13052" xr:uid="{12E9644C-7221-484A-8A67-F0A0D8EB7CE2}"/>
    <cellStyle name="Comma 4 2 3 2 11" xfId="8834" xr:uid="{0BD638B2-4C55-47B5-B3D8-CA4252D01462}"/>
    <cellStyle name="Comma 4 2 3 2 2" xfId="138" xr:uid="{00000000-0005-0000-0000-00005E080000}"/>
    <cellStyle name="Comma 4 2 3 2 2 10" xfId="8835" xr:uid="{BB685447-191C-4D56-AC1D-F66A09CF40EB}"/>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8ADD4138-F865-4477-ADE6-5B7E3B1FC09A}"/>
    <cellStyle name="Comma 4 2 3 2 2 2 2 3" xfId="11394" xr:uid="{07938DAA-93EA-42F3-8E89-749E8544E6AF}"/>
    <cellStyle name="Comma 4 2 3 2 2 2 3" xfId="5025" xr:uid="{00000000-0005-0000-0000-000062080000}"/>
    <cellStyle name="Comma 4 2 3 2 2 2 3 2" xfId="13467" xr:uid="{21F53818-EFA5-4D87-9045-C6068D42E4D7}"/>
    <cellStyle name="Comma 4 2 3 2 2 2 4" xfId="9249" xr:uid="{FD466AE2-1CBE-4BAA-A73C-72B3A2BA5C33}"/>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7BEB17B1-54AC-4EC1-AF44-A38B017FE4BD}"/>
    <cellStyle name="Comma 4 2 3 2 2 3 2 3" xfId="11807" xr:uid="{452391BB-98E8-46DA-B33C-4C9E1D1533F3}"/>
    <cellStyle name="Comma 4 2 3 2 2 3 3" xfId="5438" xr:uid="{00000000-0005-0000-0000-000066080000}"/>
    <cellStyle name="Comma 4 2 3 2 2 3 3 2" xfId="13880" xr:uid="{1DDF6CC9-DC68-4CA3-9CB7-F0687D175EFF}"/>
    <cellStyle name="Comma 4 2 3 2 2 3 4" xfId="9662" xr:uid="{D2A9C979-D937-428C-B82C-940585EA92A8}"/>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162CE44B-01A2-452A-88B7-1D4DFDA86471}"/>
    <cellStyle name="Comma 4 2 3 2 2 4 2 3" xfId="12220" xr:uid="{65BCBE6E-ED2D-46FC-B83A-26F913ADF720}"/>
    <cellStyle name="Comma 4 2 3 2 2 4 3" xfId="5851" xr:uid="{00000000-0005-0000-0000-00006A080000}"/>
    <cellStyle name="Comma 4 2 3 2 2 4 3 2" xfId="14293" xr:uid="{D2F686EF-B14F-47E6-BC37-378D4CEC051E}"/>
    <cellStyle name="Comma 4 2 3 2 2 4 4" xfId="10075" xr:uid="{F3E2D940-E84D-4A0E-8498-2D00ADCD36D3}"/>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E847251F-093A-4C3B-8D1F-DB0E1C6E16E0}"/>
    <cellStyle name="Comma 4 2 3 2 2 5 2 3" xfId="12633" xr:uid="{D15D1D61-8257-4B65-91B0-796874948DF9}"/>
    <cellStyle name="Comma 4 2 3 2 2 5 3" xfId="6264" xr:uid="{00000000-0005-0000-0000-00006E080000}"/>
    <cellStyle name="Comma 4 2 3 2 2 5 3 2" xfId="14706" xr:uid="{88C5EB41-777F-468B-823A-CA151CA5ABB6}"/>
    <cellStyle name="Comma 4 2 3 2 2 5 4" xfId="10488" xr:uid="{D3AA4E82-D27B-4338-A0D6-F565D14455F9}"/>
    <cellStyle name="Comma 4 2 3 2 2 6" xfId="2392" xr:uid="{00000000-0005-0000-0000-00006F080000}"/>
    <cellStyle name="Comma 4 2 3 2 2 6 2" xfId="6677" xr:uid="{00000000-0005-0000-0000-000070080000}"/>
    <cellStyle name="Comma 4 2 3 2 2 6 2 2" xfId="15119" xr:uid="{594E5553-6EB5-4E5C-BD52-0AE49A56BEF0}"/>
    <cellStyle name="Comma 4 2 3 2 2 6 3" xfId="10901" xr:uid="{D9975187-DC36-493D-AEDE-8F42818B483D}"/>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DEB0E6F8-BAEF-4717-A99C-F52BE6D74BA1}"/>
    <cellStyle name="Comma 4 2 3 2 2 8 3" xfId="11218" xr:uid="{2EC49446-2BCF-411A-BF8E-96C9B68CD6E2}"/>
    <cellStyle name="Comma 4 2 3 2 2 9" xfId="4611" xr:uid="{00000000-0005-0000-0000-000074080000}"/>
    <cellStyle name="Comma 4 2 3 2 2 9 2" xfId="13053" xr:uid="{DBAD8FD6-D89D-4425-8D2C-7E4202E2F135}"/>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D17470BE-5A8A-4F2A-9979-0106B1225A8D}"/>
    <cellStyle name="Comma 4 2 3 2 3 2 3" xfId="11393" xr:uid="{90705A61-532B-4D7F-92E4-28644A344644}"/>
    <cellStyle name="Comma 4 2 3 2 3 3" xfId="5024" xr:uid="{00000000-0005-0000-0000-000078080000}"/>
    <cellStyle name="Comma 4 2 3 2 3 3 2" xfId="13466" xr:uid="{32589151-8384-44BD-BB10-8B741C5F2AEF}"/>
    <cellStyle name="Comma 4 2 3 2 3 4" xfId="9248" xr:uid="{B63F990B-0F64-479E-8D02-261D1720E9DD}"/>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9955C9C9-D4DA-4A35-83FC-DD9055622C99}"/>
    <cellStyle name="Comma 4 2 3 2 4 2 3" xfId="11806" xr:uid="{4A639FAD-7CDC-4780-98E4-51B5CC718A28}"/>
    <cellStyle name="Comma 4 2 3 2 4 3" xfId="5437" xr:uid="{00000000-0005-0000-0000-00007C080000}"/>
    <cellStyle name="Comma 4 2 3 2 4 3 2" xfId="13879" xr:uid="{B81E357D-7171-460C-BC0C-7246D5E525C8}"/>
    <cellStyle name="Comma 4 2 3 2 4 4" xfId="9661" xr:uid="{CF466707-FBB8-4B01-B394-AB0B3653FD7E}"/>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B05821FC-6AE2-4DA7-B146-D76E469176B0}"/>
    <cellStyle name="Comma 4 2 3 2 5 2 3" xfId="12219" xr:uid="{8C47254A-F001-4548-B382-2E30506B2C79}"/>
    <cellStyle name="Comma 4 2 3 2 5 3" xfId="5850" xr:uid="{00000000-0005-0000-0000-000080080000}"/>
    <cellStyle name="Comma 4 2 3 2 5 3 2" xfId="14292" xr:uid="{4A6E436B-0D2C-4918-AF28-57C009A7E5D2}"/>
    <cellStyle name="Comma 4 2 3 2 5 4" xfId="10074" xr:uid="{3943514B-5E59-44FF-A66A-638659DCBA4B}"/>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6980B0EB-2C79-477C-8918-A05767AD54FC}"/>
    <cellStyle name="Comma 4 2 3 2 6 2 3" xfId="12632" xr:uid="{5401D3D2-3B4D-4058-AA19-48B48A557D90}"/>
    <cellStyle name="Comma 4 2 3 2 6 3" xfId="6263" xr:uid="{00000000-0005-0000-0000-000084080000}"/>
    <cellStyle name="Comma 4 2 3 2 6 3 2" xfId="14705" xr:uid="{E2276F7D-4C6E-4396-9676-0D14EEC0EF57}"/>
    <cellStyle name="Comma 4 2 3 2 6 4" xfId="10487" xr:uid="{996D3950-64E7-480B-AA4E-8A2354FB8F29}"/>
    <cellStyle name="Comma 4 2 3 2 7" xfId="2391" xr:uid="{00000000-0005-0000-0000-000085080000}"/>
    <cellStyle name="Comma 4 2 3 2 7 2" xfId="6676" xr:uid="{00000000-0005-0000-0000-000086080000}"/>
    <cellStyle name="Comma 4 2 3 2 7 2 2" xfId="15118" xr:uid="{66222690-82F4-4913-9CBA-E5437DEDD3B3}"/>
    <cellStyle name="Comma 4 2 3 2 7 3" xfId="10900" xr:uid="{744B75F9-C324-4776-8B50-114966D29B13}"/>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9DA9D0F8-1CF7-4E02-8FD3-4406B96FC40E}"/>
    <cellStyle name="Comma 4 2 3 2 9 3" xfId="11217" xr:uid="{8EAA6F4F-50F8-4B31-A09A-697B82A6AD34}"/>
    <cellStyle name="Comma 4 2 3 3" xfId="139" xr:uid="{00000000-0005-0000-0000-00008A080000}"/>
    <cellStyle name="Comma 4 2 3 3 10" xfId="8836" xr:uid="{0BC1B1AF-5EF0-4A11-BD10-70C8D9745A5C}"/>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35162028-A374-433E-8A1B-2BA42A8E5F0E}"/>
    <cellStyle name="Comma 4 2 3 3 2 2 3" xfId="11395" xr:uid="{141F4A5A-BB69-45A8-A928-8FE5C4D9A5A0}"/>
    <cellStyle name="Comma 4 2 3 3 2 3" xfId="5026" xr:uid="{00000000-0005-0000-0000-00008E080000}"/>
    <cellStyle name="Comma 4 2 3 3 2 3 2" xfId="13468" xr:uid="{9C1B8B92-9180-4082-942D-9C9F99D637C0}"/>
    <cellStyle name="Comma 4 2 3 3 2 4" xfId="9250" xr:uid="{722AFD6E-8AAC-487E-8361-58A56E8DE5EF}"/>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AA68D5BC-9277-4A4A-AC00-134176E13D4E}"/>
    <cellStyle name="Comma 4 2 3 3 3 2 3" xfId="11808" xr:uid="{E8DBCC3D-1DEC-4C07-B0DE-2859416178CA}"/>
    <cellStyle name="Comma 4 2 3 3 3 3" xfId="5439" xr:uid="{00000000-0005-0000-0000-000092080000}"/>
    <cellStyle name="Comma 4 2 3 3 3 3 2" xfId="13881" xr:uid="{9B9265ED-C221-416D-B603-4D9B73DD55FD}"/>
    <cellStyle name="Comma 4 2 3 3 3 4" xfId="9663" xr:uid="{AE3380D3-8C72-4BA5-AAB7-A1E6401354C4}"/>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D7733813-A20E-442C-895A-3F8E301B39D5}"/>
    <cellStyle name="Comma 4 2 3 3 4 2 3" xfId="12221" xr:uid="{CC3DD1EF-3A82-46F6-9804-AD775E34F97F}"/>
    <cellStyle name="Comma 4 2 3 3 4 3" xfId="5852" xr:uid="{00000000-0005-0000-0000-000096080000}"/>
    <cellStyle name="Comma 4 2 3 3 4 3 2" xfId="14294" xr:uid="{6DDF6CD6-BA11-4578-89BA-E139E22CDCD7}"/>
    <cellStyle name="Comma 4 2 3 3 4 4" xfId="10076" xr:uid="{634C306F-C72E-429F-8187-52807195A847}"/>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F4B64BDC-B4C3-4954-8AA3-DC40195AE140}"/>
    <cellStyle name="Comma 4 2 3 3 5 2 3" xfId="12634" xr:uid="{61FC700B-F157-4B46-8D87-29FB1095B268}"/>
    <cellStyle name="Comma 4 2 3 3 5 3" xfId="6265" xr:uid="{00000000-0005-0000-0000-00009A080000}"/>
    <cellStyle name="Comma 4 2 3 3 5 3 2" xfId="14707" xr:uid="{60ECFD6E-DD44-4F42-A753-AF4F80674AFF}"/>
    <cellStyle name="Comma 4 2 3 3 5 4" xfId="10489" xr:uid="{D22E1193-9575-4356-913D-5845839A52FE}"/>
    <cellStyle name="Comma 4 2 3 3 6" xfId="2393" xr:uid="{00000000-0005-0000-0000-00009B080000}"/>
    <cellStyle name="Comma 4 2 3 3 6 2" xfId="6678" xr:uid="{00000000-0005-0000-0000-00009C080000}"/>
    <cellStyle name="Comma 4 2 3 3 6 2 2" xfId="15120" xr:uid="{CC57AFBF-3B58-4EB4-9BB2-B2FFDF92BF4A}"/>
    <cellStyle name="Comma 4 2 3 3 6 3" xfId="10902" xr:uid="{A8460F94-5AA7-47AD-830D-38B80B057E1B}"/>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90ED70A2-BF62-4BB6-9488-9705B7CE1F57}"/>
    <cellStyle name="Comma 4 2 3 3 8 3" xfId="11219" xr:uid="{F17197C0-1181-4186-A9E3-8CFDE75E5BD6}"/>
    <cellStyle name="Comma 4 2 3 3 9" xfId="4612" xr:uid="{00000000-0005-0000-0000-0000A0080000}"/>
    <cellStyle name="Comma 4 2 3 3 9 2" xfId="13054" xr:uid="{D4D227B3-4F87-45FB-ABD5-33029C8ABCDB}"/>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4845185D-C9A0-4E53-8BC4-D1E221EBBD5A}"/>
    <cellStyle name="Comma 4 2 3 4 2 3" xfId="11392" xr:uid="{A856B18F-508D-43B0-B063-F3BF9ACDA157}"/>
    <cellStyle name="Comma 4 2 3 4 3" xfId="5023" xr:uid="{00000000-0005-0000-0000-0000A4080000}"/>
    <cellStyle name="Comma 4 2 3 4 3 2" xfId="13465" xr:uid="{B3813F9D-B8FD-46FA-B041-740327A1A7F3}"/>
    <cellStyle name="Comma 4 2 3 4 4" xfId="9247" xr:uid="{8EF84C0B-50FD-45B6-A9FD-C892B763F7C8}"/>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439656B5-170C-44B6-86A7-C01051AAE2AE}"/>
    <cellStyle name="Comma 4 2 3 5 2 3" xfId="11805" xr:uid="{325536EE-6B46-428B-A977-4DF47D8C4E7D}"/>
    <cellStyle name="Comma 4 2 3 5 3" xfId="5436" xr:uid="{00000000-0005-0000-0000-0000A8080000}"/>
    <cellStyle name="Comma 4 2 3 5 3 2" xfId="13878" xr:uid="{B7DF47FD-C161-4608-814A-922FCE381CBF}"/>
    <cellStyle name="Comma 4 2 3 5 4" xfId="9660" xr:uid="{B2A949D3-5509-4EB2-B2CC-9F6BE729097E}"/>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6CC0BB04-8B32-48EF-A087-472FFF2C2475}"/>
    <cellStyle name="Comma 4 2 3 6 2 3" xfId="12218" xr:uid="{87E2C0F4-EF49-4478-B967-2EFF3DFC816B}"/>
    <cellStyle name="Comma 4 2 3 6 3" xfId="5849" xr:uid="{00000000-0005-0000-0000-0000AC080000}"/>
    <cellStyle name="Comma 4 2 3 6 3 2" xfId="14291" xr:uid="{015359A0-A27D-43E2-A911-A23D56CDDFE8}"/>
    <cellStyle name="Comma 4 2 3 6 4" xfId="10073" xr:uid="{148D0D7C-7311-49DC-BDA8-EB643A11245D}"/>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20D0A9C1-B33C-4E47-8A85-13CBFECF88C7}"/>
    <cellStyle name="Comma 4 2 3 7 2 3" xfId="12631" xr:uid="{33047E75-1B6D-4021-ABB9-672CEE44B046}"/>
    <cellStyle name="Comma 4 2 3 7 3" xfId="6262" xr:uid="{00000000-0005-0000-0000-0000B0080000}"/>
    <cellStyle name="Comma 4 2 3 7 3 2" xfId="14704" xr:uid="{CF24C927-8795-4940-A0D6-1D7207B27692}"/>
    <cellStyle name="Comma 4 2 3 7 4" xfId="10486" xr:uid="{84648FA9-CFB7-42EA-8179-80C60D15F5B9}"/>
    <cellStyle name="Comma 4 2 3 8" xfId="2390" xr:uid="{00000000-0005-0000-0000-0000B1080000}"/>
    <cellStyle name="Comma 4 2 3 8 2" xfId="6675" xr:uid="{00000000-0005-0000-0000-0000B2080000}"/>
    <cellStyle name="Comma 4 2 3 8 2 2" xfId="15117" xr:uid="{2CEDBCA2-F2F5-4503-97FA-D5D29E3DBA35}"/>
    <cellStyle name="Comma 4 2 3 8 3" xfId="10899" xr:uid="{D3E77F70-BC53-44A2-9A38-EBF7295F69CA}"/>
    <cellStyle name="Comma 4 2 3 9" xfId="2373" xr:uid="{00000000-0005-0000-0000-0000B3080000}"/>
    <cellStyle name="Comma 4 2 4" xfId="140" xr:uid="{00000000-0005-0000-0000-0000B4080000}"/>
    <cellStyle name="Comma 4 2 4 10" xfId="4613" xr:uid="{00000000-0005-0000-0000-0000B5080000}"/>
    <cellStyle name="Comma 4 2 4 10 2" xfId="13055" xr:uid="{5FDF8668-F751-4B64-A9D4-7CC20740D248}"/>
    <cellStyle name="Comma 4 2 4 11" xfId="8837" xr:uid="{789C7114-979C-471C-8E33-E07FD74A9883}"/>
    <cellStyle name="Comma 4 2 4 2" xfId="141" xr:uid="{00000000-0005-0000-0000-0000B6080000}"/>
    <cellStyle name="Comma 4 2 4 2 10" xfId="8838" xr:uid="{D096E150-3D44-480C-9088-2FAB751AB276}"/>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ABD32165-FF14-4B7F-9B56-256645048628}"/>
    <cellStyle name="Comma 4 2 4 2 2 2 3" xfId="11397" xr:uid="{2496856B-18B6-4A87-B86C-07A9A170E183}"/>
    <cellStyle name="Comma 4 2 4 2 2 3" xfId="5028" xr:uid="{00000000-0005-0000-0000-0000BA080000}"/>
    <cellStyle name="Comma 4 2 4 2 2 3 2" xfId="13470" xr:uid="{22C1D54D-AA60-4166-85E3-1A605485E049}"/>
    <cellStyle name="Comma 4 2 4 2 2 4" xfId="9252" xr:uid="{95B407FA-B521-4AA9-9EFB-EDA9BE9410B3}"/>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F16299E7-25CA-4210-A77C-DCCCBC6C729A}"/>
    <cellStyle name="Comma 4 2 4 2 3 2 3" xfId="11810" xr:uid="{A79C2E2D-E28F-45CB-BF57-F2F6DE4B7F71}"/>
    <cellStyle name="Comma 4 2 4 2 3 3" xfId="5441" xr:uid="{00000000-0005-0000-0000-0000BE080000}"/>
    <cellStyle name="Comma 4 2 4 2 3 3 2" xfId="13883" xr:uid="{5734E215-1EEA-49CC-9F38-8A79A432CE54}"/>
    <cellStyle name="Comma 4 2 4 2 3 4" xfId="9665" xr:uid="{4B40EF28-296A-4DB7-8A68-72233AD8D240}"/>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60ADF91D-FE97-4BF4-BE1E-0BDFC8D264C2}"/>
    <cellStyle name="Comma 4 2 4 2 4 2 3" xfId="12223" xr:uid="{D47D6931-42E3-4B45-9BB9-7EB12ED9DC58}"/>
    <cellStyle name="Comma 4 2 4 2 4 3" xfId="5854" xr:uid="{00000000-0005-0000-0000-0000C2080000}"/>
    <cellStyle name="Comma 4 2 4 2 4 3 2" xfId="14296" xr:uid="{BB6D4084-B32D-40F6-B0C8-0C9527F65992}"/>
    <cellStyle name="Comma 4 2 4 2 4 4" xfId="10078" xr:uid="{58331340-E6E6-4C6B-ABB4-D8579FF8F14E}"/>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D9028325-2364-41CA-86F4-EB7FD81159B1}"/>
    <cellStyle name="Comma 4 2 4 2 5 2 3" xfId="12636" xr:uid="{0B144B98-C049-4566-9FBC-6314CC0B91F5}"/>
    <cellStyle name="Comma 4 2 4 2 5 3" xfId="6267" xr:uid="{00000000-0005-0000-0000-0000C6080000}"/>
    <cellStyle name="Comma 4 2 4 2 5 3 2" xfId="14709" xr:uid="{261DC803-136E-484B-A8D4-F9818F119C74}"/>
    <cellStyle name="Comma 4 2 4 2 5 4" xfId="10491" xr:uid="{648641CF-2CA9-4AEA-973F-581365565460}"/>
    <cellStyle name="Comma 4 2 4 2 6" xfId="2395" xr:uid="{00000000-0005-0000-0000-0000C7080000}"/>
    <cellStyle name="Comma 4 2 4 2 6 2" xfId="6680" xr:uid="{00000000-0005-0000-0000-0000C8080000}"/>
    <cellStyle name="Comma 4 2 4 2 6 2 2" xfId="15122" xr:uid="{80D606BC-4E31-4E0D-B6DD-7B4E390F52C8}"/>
    <cellStyle name="Comma 4 2 4 2 6 3" xfId="10904" xr:uid="{1A8FA1EA-F1E3-43D3-80FE-88758EC91FA4}"/>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3B20E656-BC75-4C12-B5DA-2991FFF68607}"/>
    <cellStyle name="Comma 4 2 4 2 8 3" xfId="11221" xr:uid="{A96CC52F-F57F-485D-9CAF-F3EB91C5D54A}"/>
    <cellStyle name="Comma 4 2 4 2 9" xfId="4614" xr:uid="{00000000-0005-0000-0000-0000CC080000}"/>
    <cellStyle name="Comma 4 2 4 2 9 2" xfId="13056" xr:uid="{74969949-EEC8-4A51-BE0D-F74600E72D5B}"/>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97F28EE3-2A22-4770-B506-0978F9CD0A7C}"/>
    <cellStyle name="Comma 4 2 4 3 2 3" xfId="11396" xr:uid="{6018BA07-1992-4566-845F-0B12711E9C4C}"/>
    <cellStyle name="Comma 4 2 4 3 3" xfId="5027" xr:uid="{00000000-0005-0000-0000-0000D0080000}"/>
    <cellStyle name="Comma 4 2 4 3 3 2" xfId="13469" xr:uid="{731FE384-654C-49CE-B100-156997C92FF3}"/>
    <cellStyle name="Comma 4 2 4 3 4" xfId="9251" xr:uid="{5F168199-E61E-40B7-8831-9F84C99E5DA5}"/>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C25DB603-A3BB-4E6B-80FA-6A4706607B43}"/>
    <cellStyle name="Comma 4 2 4 4 2 3" xfId="11809" xr:uid="{3E94D416-4297-4734-8E57-27F8B54784FA}"/>
    <cellStyle name="Comma 4 2 4 4 3" xfId="5440" xr:uid="{00000000-0005-0000-0000-0000D4080000}"/>
    <cellStyle name="Comma 4 2 4 4 3 2" xfId="13882" xr:uid="{15DC11F4-3972-4675-8C58-2276074FB800}"/>
    <cellStyle name="Comma 4 2 4 4 4" xfId="9664" xr:uid="{E691FE5D-5AA8-4F90-80AA-30D6428709F2}"/>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03B8D577-C394-419C-9981-3511791B7D78}"/>
    <cellStyle name="Comma 4 2 4 5 2 3" xfId="12222" xr:uid="{66C7FBF2-8F14-4274-A93D-81F5E8D0505C}"/>
    <cellStyle name="Comma 4 2 4 5 3" xfId="5853" xr:uid="{00000000-0005-0000-0000-0000D8080000}"/>
    <cellStyle name="Comma 4 2 4 5 3 2" xfId="14295" xr:uid="{805CD27A-7092-4C6E-AD4A-A29D0336F5BA}"/>
    <cellStyle name="Comma 4 2 4 5 4" xfId="10077" xr:uid="{61985A93-F6A4-4D0E-982B-711A799BFCB6}"/>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EF72B953-15EF-4FC4-BBED-D73ABE571B3B}"/>
    <cellStyle name="Comma 4 2 4 6 2 3" xfId="12635" xr:uid="{61A7730A-8CC4-41F5-B598-A16A4EB9DAB1}"/>
    <cellStyle name="Comma 4 2 4 6 3" xfId="6266" xr:uid="{00000000-0005-0000-0000-0000DC080000}"/>
    <cellStyle name="Comma 4 2 4 6 3 2" xfId="14708" xr:uid="{F8FAE6D6-9380-4F1D-9AF8-82DF50E62777}"/>
    <cellStyle name="Comma 4 2 4 6 4" xfId="10490" xr:uid="{C9C43F78-5F07-453B-B558-4DAC2F4ECE81}"/>
    <cellStyle name="Comma 4 2 4 7" xfId="2394" xr:uid="{00000000-0005-0000-0000-0000DD080000}"/>
    <cellStyle name="Comma 4 2 4 7 2" xfId="6679" xr:uid="{00000000-0005-0000-0000-0000DE080000}"/>
    <cellStyle name="Comma 4 2 4 7 2 2" xfId="15121" xr:uid="{B88C377E-4E26-4307-BEB7-E296B28E2C8D}"/>
    <cellStyle name="Comma 4 2 4 7 3" xfId="10903" xr:uid="{62C29606-6F54-4560-94D4-77D4D4DCE9EE}"/>
    <cellStyle name="Comma 4 2 4 8" xfId="2369" xr:uid="{00000000-0005-0000-0000-0000DF080000}"/>
    <cellStyle name="Comma 4 2 4 9" xfId="2772" xr:uid="{00000000-0005-0000-0000-0000E0080000}"/>
    <cellStyle name="Comma 4 2 4 9 2" xfId="6996" xr:uid="{00000000-0005-0000-0000-0000E1080000}"/>
    <cellStyle name="Comma 4 2 4 9 2 2" xfId="15438" xr:uid="{7C45F994-87CE-4AC1-9FEF-AC81922C2BFF}"/>
    <cellStyle name="Comma 4 2 4 9 3" xfId="11220" xr:uid="{EDC2FD90-4436-4DD0-BED7-374717BE6F00}"/>
    <cellStyle name="Comma 4 2 5" xfId="142" xr:uid="{00000000-0005-0000-0000-0000E2080000}"/>
    <cellStyle name="Comma 4 2 5 10" xfId="8839" xr:uid="{71EB1F5C-7426-4ABF-B0CB-5CB44F9E09BB}"/>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DF4A6D93-91AB-4F28-966B-EFA0B24C0EF2}"/>
    <cellStyle name="Comma 4 2 5 2 2 3" xfId="11398" xr:uid="{E675BA81-21E6-4627-B89C-BF4060085055}"/>
    <cellStyle name="Comma 4 2 5 2 3" xfId="5029" xr:uid="{00000000-0005-0000-0000-0000E6080000}"/>
    <cellStyle name="Comma 4 2 5 2 3 2" xfId="13471" xr:uid="{1069917C-C1BA-4523-B889-62E8BAB87A26}"/>
    <cellStyle name="Comma 4 2 5 2 4" xfId="9253" xr:uid="{186A77E4-4920-465D-9EBE-63A39A557C94}"/>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C07CCE05-A4D9-43D9-9904-7FE35F9CD9E2}"/>
    <cellStyle name="Comma 4 2 5 3 2 3" xfId="11811" xr:uid="{904FD279-B312-42D7-826C-875CDC43FC36}"/>
    <cellStyle name="Comma 4 2 5 3 3" xfId="5442" xr:uid="{00000000-0005-0000-0000-0000EA080000}"/>
    <cellStyle name="Comma 4 2 5 3 3 2" xfId="13884" xr:uid="{F2765B31-A3EF-465C-8762-CAB3CEB37499}"/>
    <cellStyle name="Comma 4 2 5 3 4" xfId="9666" xr:uid="{63F03DA2-EA46-4603-954E-A0299512E5B1}"/>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1C9D7B06-1994-4A49-9E7C-64B7EF9E81EC}"/>
    <cellStyle name="Comma 4 2 5 4 2 3" xfId="12224" xr:uid="{11A9906C-3EE4-486B-B48A-70EAF28D774D}"/>
    <cellStyle name="Comma 4 2 5 4 3" xfId="5855" xr:uid="{00000000-0005-0000-0000-0000EE080000}"/>
    <cellStyle name="Comma 4 2 5 4 3 2" xfId="14297" xr:uid="{70D9B8FC-1251-4942-884D-E3961F4F7032}"/>
    <cellStyle name="Comma 4 2 5 4 4" xfId="10079" xr:uid="{303ACF3E-F151-449C-93B6-BA2CE0220C03}"/>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A55375C7-359D-4C39-88EE-C35D8FA7DA72}"/>
    <cellStyle name="Comma 4 2 5 5 2 3" xfId="12637" xr:uid="{FE812D0B-0EC1-4226-B039-B76EDA6FE59C}"/>
    <cellStyle name="Comma 4 2 5 5 3" xfId="6268" xr:uid="{00000000-0005-0000-0000-0000F2080000}"/>
    <cellStyle name="Comma 4 2 5 5 3 2" xfId="14710" xr:uid="{4E022916-2393-4AFF-9A68-4CC119821C0C}"/>
    <cellStyle name="Comma 4 2 5 5 4" xfId="10492" xr:uid="{7F319825-C528-4940-B12F-3CAAEB3C0650}"/>
    <cellStyle name="Comma 4 2 5 6" xfId="2396" xr:uid="{00000000-0005-0000-0000-0000F3080000}"/>
    <cellStyle name="Comma 4 2 5 6 2" xfId="6681" xr:uid="{00000000-0005-0000-0000-0000F4080000}"/>
    <cellStyle name="Comma 4 2 5 6 2 2" xfId="15123" xr:uid="{6E4086ED-6E3B-436D-A9D9-F9B6F3291759}"/>
    <cellStyle name="Comma 4 2 5 6 3" xfId="10905" xr:uid="{A07EA454-FC4E-4C3F-9284-3E3BF47CA886}"/>
    <cellStyle name="Comma 4 2 5 7" xfId="2367" xr:uid="{00000000-0005-0000-0000-0000F5080000}"/>
    <cellStyle name="Comma 4 2 5 8" xfId="2774" xr:uid="{00000000-0005-0000-0000-0000F6080000}"/>
    <cellStyle name="Comma 4 2 5 8 2" xfId="6998" xr:uid="{00000000-0005-0000-0000-0000F7080000}"/>
    <cellStyle name="Comma 4 2 5 8 2 2" xfId="15440" xr:uid="{2BA39C5D-56C0-4E39-A81E-6BBCB7E27E57}"/>
    <cellStyle name="Comma 4 2 5 8 3" xfId="11222" xr:uid="{939C4AE7-7DC4-40B5-A7C8-EF42CE7F73E8}"/>
    <cellStyle name="Comma 4 2 5 9" xfId="4615" xr:uid="{00000000-0005-0000-0000-0000F8080000}"/>
    <cellStyle name="Comma 4 2 5 9 2" xfId="13057" xr:uid="{2EB63D10-F55E-4FAA-B44A-F0FCF2BAB292}"/>
    <cellStyle name="Comma 4 2 6" xfId="143" xr:uid="{00000000-0005-0000-0000-0000F9080000}"/>
    <cellStyle name="Comma 4 2 6 10" xfId="8840" xr:uid="{CC9EF565-F241-47B5-9DD1-2BD27BDD31A5}"/>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E15EFEB7-7169-4F6B-8DE4-160FC2E30BFD}"/>
    <cellStyle name="Comma 4 2 6 2 2 3" xfId="11399" xr:uid="{A6803F44-A039-4377-ADFF-D6D994D47DAA}"/>
    <cellStyle name="Comma 4 2 6 2 3" xfId="5030" xr:uid="{00000000-0005-0000-0000-0000FD080000}"/>
    <cellStyle name="Comma 4 2 6 2 3 2" xfId="13472" xr:uid="{D660B842-309A-43F6-A549-E674E5718952}"/>
    <cellStyle name="Comma 4 2 6 2 4" xfId="9254" xr:uid="{666DC6BB-6228-42B9-B057-6B5F903D918A}"/>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890D4247-7E2A-4659-AC93-1DB887E55FA8}"/>
    <cellStyle name="Comma 4 2 6 3 2 3" xfId="11812" xr:uid="{1F9A3BB8-815F-4B45-ADBD-E9629EC6FF61}"/>
    <cellStyle name="Comma 4 2 6 3 3" xfId="5443" xr:uid="{00000000-0005-0000-0000-000001090000}"/>
    <cellStyle name="Comma 4 2 6 3 3 2" xfId="13885" xr:uid="{1927A51D-17ED-4F4C-ACE2-DB2C7227BD22}"/>
    <cellStyle name="Comma 4 2 6 3 4" xfId="9667" xr:uid="{0860E090-0E74-459F-A682-49C53D746E1D}"/>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5F63CD91-EAAF-4B8C-A097-CC0CF9CBDC59}"/>
    <cellStyle name="Comma 4 2 6 4 2 3" xfId="12225" xr:uid="{5C522B6C-1565-482C-A7B4-726F7CEDBB56}"/>
    <cellStyle name="Comma 4 2 6 4 3" xfId="5856" xr:uid="{00000000-0005-0000-0000-000005090000}"/>
    <cellStyle name="Comma 4 2 6 4 3 2" xfId="14298" xr:uid="{51C7617C-F41D-47AC-BF53-20CA8FE15571}"/>
    <cellStyle name="Comma 4 2 6 4 4" xfId="10080" xr:uid="{702769CC-9FB6-4C80-9A4B-99C25029BD49}"/>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B60D90C1-11AC-478C-9284-050B404F40C1}"/>
    <cellStyle name="Comma 4 2 6 5 2 3" xfId="12638" xr:uid="{EAC8C1D3-5C86-4EA5-9F74-AF25CC1C132A}"/>
    <cellStyle name="Comma 4 2 6 5 3" xfId="6269" xr:uid="{00000000-0005-0000-0000-000009090000}"/>
    <cellStyle name="Comma 4 2 6 5 3 2" xfId="14711" xr:uid="{459E8F71-09F4-4258-BE07-13B0637119C4}"/>
    <cellStyle name="Comma 4 2 6 5 4" xfId="10493" xr:uid="{7EB1EA08-66BD-4093-A007-A3DFACA91AFB}"/>
    <cellStyle name="Comma 4 2 6 6" xfId="2397" xr:uid="{00000000-0005-0000-0000-00000A090000}"/>
    <cellStyle name="Comma 4 2 6 6 2" xfId="6682" xr:uid="{00000000-0005-0000-0000-00000B090000}"/>
    <cellStyle name="Comma 4 2 6 6 2 2" xfId="15124" xr:uid="{446ACB9D-3B29-4C54-B229-A1D58FF181B9}"/>
    <cellStyle name="Comma 4 2 6 6 3" xfId="10906" xr:uid="{30BBA354-74B1-4BAF-AF66-31311AFA2882}"/>
    <cellStyle name="Comma 4 2 6 7" xfId="2366" xr:uid="{00000000-0005-0000-0000-00000C090000}"/>
    <cellStyle name="Comma 4 2 6 8" xfId="2775" xr:uid="{00000000-0005-0000-0000-00000D090000}"/>
    <cellStyle name="Comma 4 2 6 8 2" xfId="6999" xr:uid="{00000000-0005-0000-0000-00000E090000}"/>
    <cellStyle name="Comma 4 2 6 8 2 2" xfId="15441" xr:uid="{D1187886-06BA-4FFF-8DFB-D9E74C5AE135}"/>
    <cellStyle name="Comma 4 2 6 8 3" xfId="11223" xr:uid="{942B0815-0E3D-43E6-A9A2-4E3568FF46B0}"/>
    <cellStyle name="Comma 4 2 6 9" xfId="4616" xr:uid="{00000000-0005-0000-0000-00000F090000}"/>
    <cellStyle name="Comma 4 2 6 9 2" xfId="13058" xr:uid="{4E3F5E6F-E10E-4E76-81F3-57562471C3E6}"/>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4DBAB71E-342E-48BF-8EE3-143F5F7AC099}"/>
    <cellStyle name="Comma 4 3 2 10 3" xfId="11224" xr:uid="{7FDADD8F-9103-4E56-BD05-8E056429E0D2}"/>
    <cellStyle name="Comma 4 3 2 11" xfId="4617" xr:uid="{00000000-0005-0000-0000-000014090000}"/>
    <cellStyle name="Comma 4 3 2 11 2" xfId="13059" xr:uid="{2AE55A20-50B6-4282-803C-2502769E0C5A}"/>
    <cellStyle name="Comma 4 3 2 12" xfId="8841" xr:uid="{E91977B3-11E0-44D5-ACB4-BF5CEE5BA7B8}"/>
    <cellStyle name="Comma 4 3 2 2" xfId="146" xr:uid="{00000000-0005-0000-0000-000015090000}"/>
    <cellStyle name="Comma 4 3 2 2 10" xfId="4618" xr:uid="{00000000-0005-0000-0000-000016090000}"/>
    <cellStyle name="Comma 4 3 2 2 10 2" xfId="13060" xr:uid="{CC622580-3B6C-450A-A482-17C80DAC1B4A}"/>
    <cellStyle name="Comma 4 3 2 2 11" xfId="8842" xr:uid="{1D9023AF-6F5B-4C91-9698-903050D050E6}"/>
    <cellStyle name="Comma 4 3 2 2 2" xfId="147" xr:uid="{00000000-0005-0000-0000-000017090000}"/>
    <cellStyle name="Comma 4 3 2 2 2 10" xfId="8843" xr:uid="{DACC16D3-D00D-42B1-95CE-DB1B521B641D}"/>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2E62C961-4B02-4684-854E-D29807AF1059}"/>
    <cellStyle name="Comma 4 3 2 2 2 2 2 3" xfId="11402" xr:uid="{7900D27E-53DF-4591-857F-C2C46F54FB09}"/>
    <cellStyle name="Comma 4 3 2 2 2 2 3" xfId="5033" xr:uid="{00000000-0005-0000-0000-00001B090000}"/>
    <cellStyle name="Comma 4 3 2 2 2 2 3 2" xfId="13475" xr:uid="{5BE5AF90-1148-48AB-8149-0FB091BA79B7}"/>
    <cellStyle name="Comma 4 3 2 2 2 2 4" xfId="9257" xr:uid="{74FB799E-45A0-4B0E-8704-8C455D1F5720}"/>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3A0B9545-0640-423E-B363-366A16DFFE61}"/>
    <cellStyle name="Comma 4 3 2 2 2 3 2 3" xfId="11815" xr:uid="{755FAD32-FFE5-4A44-AC07-CA03D1F0D838}"/>
    <cellStyle name="Comma 4 3 2 2 2 3 3" xfId="5446" xr:uid="{00000000-0005-0000-0000-00001F090000}"/>
    <cellStyle name="Comma 4 3 2 2 2 3 3 2" xfId="13888" xr:uid="{854F4C35-7172-4AD4-8528-3EA6BF4EE059}"/>
    <cellStyle name="Comma 4 3 2 2 2 3 4" xfId="9670" xr:uid="{4276356A-46FA-409F-923F-662D1F810DF4}"/>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98F469AC-2B41-4BE9-B506-962169A8FB39}"/>
    <cellStyle name="Comma 4 3 2 2 2 4 2 3" xfId="12228" xr:uid="{63221454-B6B2-4377-B6D3-8995624D3ED5}"/>
    <cellStyle name="Comma 4 3 2 2 2 4 3" xfId="5859" xr:uid="{00000000-0005-0000-0000-000023090000}"/>
    <cellStyle name="Comma 4 3 2 2 2 4 3 2" xfId="14301" xr:uid="{D926A75C-FC63-4070-83F8-992A0941D919}"/>
    <cellStyle name="Comma 4 3 2 2 2 4 4" xfId="10083" xr:uid="{28A6BCDE-9A9B-47E4-B65D-0FD9CA48E39F}"/>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25954448-1B20-4CD0-BA95-F103227756C2}"/>
    <cellStyle name="Comma 4 3 2 2 2 5 2 3" xfId="12641" xr:uid="{6BF61CCC-D18C-498C-BE59-EDCDA174D008}"/>
    <cellStyle name="Comma 4 3 2 2 2 5 3" xfId="6272" xr:uid="{00000000-0005-0000-0000-000027090000}"/>
    <cellStyle name="Comma 4 3 2 2 2 5 3 2" xfId="14714" xr:uid="{036EF114-072B-489D-96C7-33CB0761E0BB}"/>
    <cellStyle name="Comma 4 3 2 2 2 5 4" xfId="10496" xr:uid="{34A99A5B-25C8-4550-A63A-B037B8EBBD6F}"/>
    <cellStyle name="Comma 4 3 2 2 2 6" xfId="2400" xr:uid="{00000000-0005-0000-0000-000028090000}"/>
    <cellStyle name="Comma 4 3 2 2 2 6 2" xfId="6685" xr:uid="{00000000-0005-0000-0000-000029090000}"/>
    <cellStyle name="Comma 4 3 2 2 2 6 2 2" xfId="15127" xr:uid="{F5DB5274-2ABD-4361-866B-5C28F28570D5}"/>
    <cellStyle name="Comma 4 3 2 2 2 6 3" xfId="10909" xr:uid="{3341CBB2-B999-4C89-B333-DED7F6C744EA}"/>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5B74A759-2DEB-49F4-96EE-124BF30352A3}"/>
    <cellStyle name="Comma 4 3 2 2 2 8 3" xfId="11226" xr:uid="{95E45F92-DE92-4A4E-B22B-F079C8C0AEB5}"/>
    <cellStyle name="Comma 4 3 2 2 2 9" xfId="4619" xr:uid="{00000000-0005-0000-0000-00002D090000}"/>
    <cellStyle name="Comma 4 3 2 2 2 9 2" xfId="13061" xr:uid="{AB58E5DC-90BA-4C1B-A067-6EBD01AA3FFA}"/>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1F620D3F-EBFB-48E6-8768-FD94322938AF}"/>
    <cellStyle name="Comma 4 3 2 2 3 2 3" xfId="11401" xr:uid="{BCE33B67-3398-4D07-B44E-A4F0514C5A24}"/>
    <cellStyle name="Comma 4 3 2 2 3 3" xfId="5032" xr:uid="{00000000-0005-0000-0000-000031090000}"/>
    <cellStyle name="Comma 4 3 2 2 3 3 2" xfId="13474" xr:uid="{FDDC3338-04CD-4991-83A5-E37B28F5ABC6}"/>
    <cellStyle name="Comma 4 3 2 2 3 4" xfId="9256" xr:uid="{613CAE9C-F7E6-43AB-881E-92FAFE3DE2A6}"/>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6CE2542F-7BF3-4FF6-9AA9-4CE208D8D60A}"/>
    <cellStyle name="Comma 4 3 2 2 4 2 3" xfId="11814" xr:uid="{D22861DD-8CB4-4605-82EC-41D380B5E686}"/>
    <cellStyle name="Comma 4 3 2 2 4 3" xfId="5445" xr:uid="{00000000-0005-0000-0000-000035090000}"/>
    <cellStyle name="Comma 4 3 2 2 4 3 2" xfId="13887" xr:uid="{E07FB317-6560-4BAF-86FC-8780F33C4053}"/>
    <cellStyle name="Comma 4 3 2 2 4 4" xfId="9669" xr:uid="{BA7C160C-78B3-4BC1-B83C-393DB265707D}"/>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EC45F55E-6848-46F3-8511-B1E653D7839A}"/>
    <cellStyle name="Comma 4 3 2 2 5 2 3" xfId="12227" xr:uid="{B0669EBB-2447-4CA3-923F-8BED8CB04BF9}"/>
    <cellStyle name="Comma 4 3 2 2 5 3" xfId="5858" xr:uid="{00000000-0005-0000-0000-000039090000}"/>
    <cellStyle name="Comma 4 3 2 2 5 3 2" xfId="14300" xr:uid="{10E4153F-2167-4B8C-9518-C084EC4D3F14}"/>
    <cellStyle name="Comma 4 3 2 2 5 4" xfId="10082" xr:uid="{29A97BB5-6023-415A-9D7B-57FD7A34C418}"/>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FF5981CE-884C-4BBA-8A60-C49752D6D64A}"/>
    <cellStyle name="Comma 4 3 2 2 6 2 3" xfId="12640" xr:uid="{1631530E-42E3-4304-B039-44D552AE615D}"/>
    <cellStyle name="Comma 4 3 2 2 6 3" xfId="6271" xr:uid="{00000000-0005-0000-0000-00003D090000}"/>
    <cellStyle name="Comma 4 3 2 2 6 3 2" xfId="14713" xr:uid="{CA4410AA-9C4C-4ABE-8FD7-872A694B516E}"/>
    <cellStyle name="Comma 4 3 2 2 6 4" xfId="10495" xr:uid="{10759795-8124-41AE-A3B9-ECEEA31CAE53}"/>
    <cellStyle name="Comma 4 3 2 2 7" xfId="2399" xr:uid="{00000000-0005-0000-0000-00003E090000}"/>
    <cellStyle name="Comma 4 3 2 2 7 2" xfId="6684" xr:uid="{00000000-0005-0000-0000-00003F090000}"/>
    <cellStyle name="Comma 4 3 2 2 7 2 2" xfId="15126" xr:uid="{E3D62F81-0350-4D96-9BDE-47DAD2555A49}"/>
    <cellStyle name="Comma 4 3 2 2 7 3" xfId="10908" xr:uid="{2D9F0B81-0898-4BD2-8F4F-9DB91FA205EF}"/>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204D9CDF-A86F-4C0A-AC9C-A3C1081CF95C}"/>
    <cellStyle name="Comma 4 3 2 2 9 3" xfId="11225" xr:uid="{5A4E0639-5874-4617-BB31-B7F56CC1724B}"/>
    <cellStyle name="Comma 4 3 2 3" xfId="148" xr:uid="{00000000-0005-0000-0000-000043090000}"/>
    <cellStyle name="Comma 4 3 2 3 10" xfId="8844" xr:uid="{BC614E2F-F5A7-4BEE-80A9-A06B9CF7647A}"/>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EB713031-32D3-435D-81BC-7B9F03F29741}"/>
    <cellStyle name="Comma 4 3 2 3 2 2 3" xfId="11403" xr:uid="{DB10C5EE-9450-4A22-A8BB-0E419E6B5C62}"/>
    <cellStyle name="Comma 4 3 2 3 2 3" xfId="5034" xr:uid="{00000000-0005-0000-0000-000047090000}"/>
    <cellStyle name="Comma 4 3 2 3 2 3 2" xfId="13476" xr:uid="{DD70F940-A03C-4841-B763-6F9BB78E791D}"/>
    <cellStyle name="Comma 4 3 2 3 2 4" xfId="9258" xr:uid="{34DA2001-F6E0-4EE4-AE28-5C89B864B88F}"/>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A2E98260-4A92-484F-9EE0-DEDB689BE060}"/>
    <cellStyle name="Comma 4 3 2 3 3 2 3" xfId="11816" xr:uid="{06F582AE-1B07-472D-B253-052187A27C8C}"/>
    <cellStyle name="Comma 4 3 2 3 3 3" xfId="5447" xr:uid="{00000000-0005-0000-0000-00004B090000}"/>
    <cellStyle name="Comma 4 3 2 3 3 3 2" xfId="13889" xr:uid="{B8340179-8397-4928-94C8-8ACEE6E242EA}"/>
    <cellStyle name="Comma 4 3 2 3 3 4" xfId="9671" xr:uid="{F0C76023-88D5-4B0B-9F0C-719C4942AD41}"/>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9CF91EEF-673D-45CB-8E37-E8AB75AD6589}"/>
    <cellStyle name="Comma 4 3 2 3 4 2 3" xfId="12229" xr:uid="{1B4AA9D6-A7E0-4CBB-A3F4-14CDCA51597A}"/>
    <cellStyle name="Comma 4 3 2 3 4 3" xfId="5860" xr:uid="{00000000-0005-0000-0000-00004F090000}"/>
    <cellStyle name="Comma 4 3 2 3 4 3 2" xfId="14302" xr:uid="{549D211C-E8E6-4578-8159-AF4B2398B0E6}"/>
    <cellStyle name="Comma 4 3 2 3 4 4" xfId="10084" xr:uid="{9FF1874A-DDE5-4C54-AF6A-256414BDA0C6}"/>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8A1E77B3-0AB0-403D-92F7-1E6E54CCD7CB}"/>
    <cellStyle name="Comma 4 3 2 3 5 2 3" xfId="12642" xr:uid="{CDDD4BF7-CBB5-4593-BA7D-F47F34347BE9}"/>
    <cellStyle name="Comma 4 3 2 3 5 3" xfId="6273" xr:uid="{00000000-0005-0000-0000-000053090000}"/>
    <cellStyle name="Comma 4 3 2 3 5 3 2" xfId="14715" xr:uid="{87A65940-A077-4CED-9181-F0C1B4AC9E11}"/>
    <cellStyle name="Comma 4 3 2 3 5 4" xfId="10497" xr:uid="{9942193D-059F-4A00-91D3-8D6F8BA87A74}"/>
    <cellStyle name="Comma 4 3 2 3 6" xfId="2401" xr:uid="{00000000-0005-0000-0000-000054090000}"/>
    <cellStyle name="Comma 4 3 2 3 6 2" xfId="6686" xr:uid="{00000000-0005-0000-0000-000055090000}"/>
    <cellStyle name="Comma 4 3 2 3 6 2 2" xfId="15128" xr:uid="{4F4316F2-73A5-4B0F-B105-0D6E99731B4D}"/>
    <cellStyle name="Comma 4 3 2 3 6 3" xfId="10910" xr:uid="{CC7C2767-97D2-403C-B844-C6146A12B224}"/>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1D3B9F36-5162-417F-A953-EE18315CAC9D}"/>
    <cellStyle name="Comma 4 3 2 3 8 3" xfId="11227" xr:uid="{4C092B6C-9DC9-45A5-AC94-55A95ADCB510}"/>
    <cellStyle name="Comma 4 3 2 3 9" xfId="4620" xr:uid="{00000000-0005-0000-0000-000059090000}"/>
    <cellStyle name="Comma 4 3 2 3 9 2" xfId="13062" xr:uid="{1145BA28-0A30-4A7C-8036-65794ED19D1C}"/>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102253B3-53CB-4D6D-8D3B-92B36FBA8916}"/>
    <cellStyle name="Comma 4 3 2 4 2 3" xfId="11400" xr:uid="{B86E22F3-8232-4862-8727-B5E25F1E13A5}"/>
    <cellStyle name="Comma 4 3 2 4 3" xfId="5031" xr:uid="{00000000-0005-0000-0000-00005D090000}"/>
    <cellStyle name="Comma 4 3 2 4 3 2" xfId="13473" xr:uid="{8DD774B0-4A92-48FA-AB12-29A112A9710E}"/>
    <cellStyle name="Comma 4 3 2 4 4" xfId="9255" xr:uid="{99369F76-A66D-42C0-8E25-6342ED8109C6}"/>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7FDB04F9-C685-45B2-BD7B-A07A9A7B97F8}"/>
    <cellStyle name="Comma 4 3 2 5 2 3" xfId="11813" xr:uid="{3CE6DA96-4089-4F13-87E5-1A0FE22AB315}"/>
    <cellStyle name="Comma 4 3 2 5 3" xfId="5444" xr:uid="{00000000-0005-0000-0000-000061090000}"/>
    <cellStyle name="Comma 4 3 2 5 3 2" xfId="13886" xr:uid="{68F4FD11-6860-452E-AECA-46001AB878BA}"/>
    <cellStyle name="Comma 4 3 2 5 4" xfId="9668" xr:uid="{62F9B757-BA7F-4B26-B0B3-7F32C0421747}"/>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2979D8D0-6C2B-48AF-863C-CB03F0DA6B26}"/>
    <cellStyle name="Comma 4 3 2 6 2 3" xfId="12226" xr:uid="{0CF0CD39-9F4C-4AA1-9DA1-FAA05CE4BC73}"/>
    <cellStyle name="Comma 4 3 2 6 3" xfId="5857" xr:uid="{00000000-0005-0000-0000-000065090000}"/>
    <cellStyle name="Comma 4 3 2 6 3 2" xfId="14299" xr:uid="{EA36CCE4-8EB3-4C5C-A61D-BEF2E793B3CD}"/>
    <cellStyle name="Comma 4 3 2 6 4" xfId="10081" xr:uid="{D9C794E3-0125-4E21-B769-50734B4924B2}"/>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D6643C0E-8F10-49AC-8E39-EC924E3A0D7B}"/>
    <cellStyle name="Comma 4 3 2 7 2 3" xfId="12639" xr:uid="{DF545CD3-6084-4777-961E-54BFEDBDCAC0}"/>
    <cellStyle name="Comma 4 3 2 7 3" xfId="6270" xr:uid="{00000000-0005-0000-0000-000069090000}"/>
    <cellStyle name="Comma 4 3 2 7 3 2" xfId="14712" xr:uid="{9AFD0BB0-4AF7-44F5-84D2-F939E95ED038}"/>
    <cellStyle name="Comma 4 3 2 7 4" xfId="10494" xr:uid="{C7530CFA-4222-41BB-A0FD-53747032E575}"/>
    <cellStyle name="Comma 4 3 2 8" xfId="2398" xr:uid="{00000000-0005-0000-0000-00006A090000}"/>
    <cellStyle name="Comma 4 3 2 8 2" xfId="6683" xr:uid="{00000000-0005-0000-0000-00006B090000}"/>
    <cellStyle name="Comma 4 3 2 8 2 2" xfId="15125" xr:uid="{0B20B4C1-F7A4-4A0D-8DE0-E0ECFE1B1FAD}"/>
    <cellStyle name="Comma 4 3 2 8 3" xfId="10907" xr:uid="{98DE3973-F21A-404F-B853-6C06799D4D07}"/>
    <cellStyle name="Comma 4 3 2 9" xfId="2365" xr:uid="{00000000-0005-0000-0000-00006C090000}"/>
    <cellStyle name="Comma 4 3 3" xfId="149" xr:uid="{00000000-0005-0000-0000-00006D090000}"/>
    <cellStyle name="Comma 4 3 3 10" xfId="4621" xr:uid="{00000000-0005-0000-0000-00006E090000}"/>
    <cellStyle name="Comma 4 3 3 10 2" xfId="13063" xr:uid="{65B91CE2-FB57-47A9-8A64-87EABE7B9C31}"/>
    <cellStyle name="Comma 4 3 3 11" xfId="8845" xr:uid="{4FB49638-41D2-40F8-82DD-986EFC25FFAD}"/>
    <cellStyle name="Comma 4 3 3 2" xfId="150" xr:uid="{00000000-0005-0000-0000-00006F090000}"/>
    <cellStyle name="Comma 4 3 3 2 10" xfId="8846" xr:uid="{EB87AAAB-3141-46B5-8786-0416E0AA20B3}"/>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53D75C2B-E147-4033-B2FB-0F6997C33C32}"/>
    <cellStyle name="Comma 4 3 3 2 2 2 3" xfId="11405" xr:uid="{7EE4AA27-2C67-4BBB-ADC5-B9E58CD4A24C}"/>
    <cellStyle name="Comma 4 3 3 2 2 3" xfId="5036" xr:uid="{00000000-0005-0000-0000-000073090000}"/>
    <cellStyle name="Comma 4 3 3 2 2 3 2" xfId="13478" xr:uid="{BA5F341E-BC59-4CC9-865C-C5C7ABEC31A1}"/>
    <cellStyle name="Comma 4 3 3 2 2 4" xfId="9260" xr:uid="{3C91B21C-9040-4237-AA60-E84ABAB670AE}"/>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DE120051-897F-4E04-9BCF-0D00EE097281}"/>
    <cellStyle name="Comma 4 3 3 2 3 2 3" xfId="11818" xr:uid="{8EEE286D-77D2-4565-9DA4-ED64AEE1FAB0}"/>
    <cellStyle name="Comma 4 3 3 2 3 3" xfId="5449" xr:uid="{00000000-0005-0000-0000-000077090000}"/>
    <cellStyle name="Comma 4 3 3 2 3 3 2" xfId="13891" xr:uid="{B053C0D5-7340-4B6E-AB12-C60955CEC86D}"/>
    <cellStyle name="Comma 4 3 3 2 3 4" xfId="9673" xr:uid="{D28A37F7-79DF-45B4-8D27-F1CDDEEB68E4}"/>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50ED187F-8FFF-4F84-8468-08401FEE6899}"/>
    <cellStyle name="Comma 4 3 3 2 4 2 3" xfId="12231" xr:uid="{5B476B06-ADD1-4714-BCB1-8418BD329376}"/>
    <cellStyle name="Comma 4 3 3 2 4 3" xfId="5862" xr:uid="{00000000-0005-0000-0000-00007B090000}"/>
    <cellStyle name="Comma 4 3 3 2 4 3 2" xfId="14304" xr:uid="{B022D422-09B0-4B30-906B-E942F668EF33}"/>
    <cellStyle name="Comma 4 3 3 2 4 4" xfId="10086" xr:uid="{DF713451-2761-4FE0-A32E-D70C0D020BB9}"/>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2943963E-9984-4E61-9D89-DBCBC6F4BCB0}"/>
    <cellStyle name="Comma 4 3 3 2 5 2 3" xfId="12644" xr:uid="{C86C77FD-A8C8-4502-B515-8539CCA38B7D}"/>
    <cellStyle name="Comma 4 3 3 2 5 3" xfId="6275" xr:uid="{00000000-0005-0000-0000-00007F090000}"/>
    <cellStyle name="Comma 4 3 3 2 5 3 2" xfId="14717" xr:uid="{E73F760F-603E-4983-BA72-E76CB2B23E44}"/>
    <cellStyle name="Comma 4 3 3 2 5 4" xfId="10499" xr:uid="{A2DE4CCB-859D-483F-B67E-B65342881B60}"/>
    <cellStyle name="Comma 4 3 3 2 6" xfId="2403" xr:uid="{00000000-0005-0000-0000-000080090000}"/>
    <cellStyle name="Comma 4 3 3 2 6 2" xfId="6688" xr:uid="{00000000-0005-0000-0000-000081090000}"/>
    <cellStyle name="Comma 4 3 3 2 6 2 2" xfId="15130" xr:uid="{05ED1085-FE28-4F4A-ABCF-A521FE633421}"/>
    <cellStyle name="Comma 4 3 3 2 6 3" xfId="10912" xr:uid="{625F1D3C-DD8F-40EF-9805-83F0908AFFC7}"/>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D416514C-60A5-4CA5-A052-3F0995696AF1}"/>
    <cellStyle name="Comma 4 3 3 2 8 3" xfId="11229" xr:uid="{B59398EB-584A-449A-8935-C59D7ACDE8B1}"/>
    <cellStyle name="Comma 4 3 3 2 9" xfId="4622" xr:uid="{00000000-0005-0000-0000-000085090000}"/>
    <cellStyle name="Comma 4 3 3 2 9 2" xfId="13064" xr:uid="{0D316EBE-7139-43D6-AE2C-43FE8B1BBE62}"/>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AE0C8BF4-8C31-48A4-A699-4D8A0205FDEA}"/>
    <cellStyle name="Comma 4 3 3 3 2 3" xfId="11404" xr:uid="{FECCA90B-7C48-4885-AF7A-DD589C807EC0}"/>
    <cellStyle name="Comma 4 3 3 3 3" xfId="5035" xr:uid="{00000000-0005-0000-0000-000089090000}"/>
    <cellStyle name="Comma 4 3 3 3 3 2" xfId="13477" xr:uid="{56AE12A7-B93C-4442-BAF7-E08A71B122F9}"/>
    <cellStyle name="Comma 4 3 3 3 4" xfId="9259" xr:uid="{0911C934-B4A5-4286-A0F0-086EB06D3640}"/>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0B88AA89-5120-4842-9316-9942E0EC3F34}"/>
    <cellStyle name="Comma 4 3 3 4 2 3" xfId="11817" xr:uid="{2FB233B2-6137-4198-8E4B-AC11B1A33695}"/>
    <cellStyle name="Comma 4 3 3 4 3" xfId="5448" xr:uid="{00000000-0005-0000-0000-00008D090000}"/>
    <cellStyle name="Comma 4 3 3 4 3 2" xfId="13890" xr:uid="{5C53AABD-AC7D-45B4-9D21-66BC1EBB6142}"/>
    <cellStyle name="Comma 4 3 3 4 4" xfId="9672" xr:uid="{0A7DC2D2-433A-4B2A-9A9C-95BEE9421BA2}"/>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A3106CBB-4570-4B3A-A523-AD72DA7C3CBB}"/>
    <cellStyle name="Comma 4 3 3 5 2 3" xfId="12230" xr:uid="{F3DC4ED5-7757-4003-9EB1-DDB817CE2C63}"/>
    <cellStyle name="Comma 4 3 3 5 3" xfId="5861" xr:uid="{00000000-0005-0000-0000-000091090000}"/>
    <cellStyle name="Comma 4 3 3 5 3 2" xfId="14303" xr:uid="{842B9DB0-C141-425F-AB6B-56EEAC23FB91}"/>
    <cellStyle name="Comma 4 3 3 5 4" xfId="10085" xr:uid="{C74499EF-B6F1-4428-B7E7-9A92E6DD671C}"/>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17CA652B-2DC8-475A-B3A7-A12FFC10F8D1}"/>
    <cellStyle name="Comma 4 3 3 6 2 3" xfId="12643" xr:uid="{44CD8BFB-2F71-462D-9CBC-6F40664D3462}"/>
    <cellStyle name="Comma 4 3 3 6 3" xfId="6274" xr:uid="{00000000-0005-0000-0000-000095090000}"/>
    <cellStyle name="Comma 4 3 3 6 3 2" xfId="14716" xr:uid="{3733639E-C759-4E4D-BE60-58414DEA5FF6}"/>
    <cellStyle name="Comma 4 3 3 6 4" xfId="10498" xr:uid="{EFE56872-378C-4680-B8FD-3AD7124D46A7}"/>
    <cellStyle name="Comma 4 3 3 7" xfId="2402" xr:uid="{00000000-0005-0000-0000-000096090000}"/>
    <cellStyle name="Comma 4 3 3 7 2" xfId="6687" xr:uid="{00000000-0005-0000-0000-000097090000}"/>
    <cellStyle name="Comma 4 3 3 7 2 2" xfId="15129" xr:uid="{EB26B8F2-371C-4A7E-9F4F-E1CDF6F4158D}"/>
    <cellStyle name="Comma 4 3 3 7 3" xfId="10911" xr:uid="{3174A046-C4FD-4884-8894-F22482C3060C}"/>
    <cellStyle name="Comma 4 3 3 8" xfId="2361" xr:uid="{00000000-0005-0000-0000-000098090000}"/>
    <cellStyle name="Comma 4 3 3 9" xfId="2780" xr:uid="{00000000-0005-0000-0000-000099090000}"/>
    <cellStyle name="Comma 4 3 3 9 2" xfId="7004" xr:uid="{00000000-0005-0000-0000-00009A090000}"/>
    <cellStyle name="Comma 4 3 3 9 2 2" xfId="15446" xr:uid="{AE1D993A-F26B-490E-A308-391AADF919BE}"/>
    <cellStyle name="Comma 4 3 3 9 3" xfId="11228" xr:uid="{219A2BB6-B716-42D8-9EF9-0961D9B5890D}"/>
    <cellStyle name="Comma 4 3 4" xfId="151" xr:uid="{00000000-0005-0000-0000-00009B090000}"/>
    <cellStyle name="Comma 4 3 4 10" xfId="8847" xr:uid="{E4010D08-A98B-4FCB-99A0-E56E1A7DBD74}"/>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EFB46BC5-2007-4C27-B4B1-FFE3B56404AB}"/>
    <cellStyle name="Comma 4 3 4 2 2 3" xfId="11406" xr:uid="{6C1C3261-8B6B-4514-B51F-36C6FA3CC2D9}"/>
    <cellStyle name="Comma 4 3 4 2 3" xfId="5037" xr:uid="{00000000-0005-0000-0000-00009F090000}"/>
    <cellStyle name="Comma 4 3 4 2 3 2" xfId="13479" xr:uid="{7AB47651-34B9-487D-BDD2-F08699B9EF2E}"/>
    <cellStyle name="Comma 4 3 4 2 4" xfId="9261" xr:uid="{7FB9873B-5A70-4086-9F78-AC6926A318D3}"/>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23B6A63F-729B-491D-9DDA-0A572608B1A8}"/>
    <cellStyle name="Comma 4 3 4 3 2 3" xfId="11819" xr:uid="{E1B8A402-8C58-4553-B5C4-F4B3E628FD34}"/>
    <cellStyle name="Comma 4 3 4 3 3" xfId="5450" xr:uid="{00000000-0005-0000-0000-0000A3090000}"/>
    <cellStyle name="Comma 4 3 4 3 3 2" xfId="13892" xr:uid="{8A256726-5DCD-4037-BADC-E6CD7F741BCF}"/>
    <cellStyle name="Comma 4 3 4 3 4" xfId="9674" xr:uid="{4991D9A6-05BB-4940-ABE3-C9920305507A}"/>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8B606B8F-9936-4D5E-9137-7EEAF78B71E0}"/>
    <cellStyle name="Comma 4 3 4 4 2 3" xfId="12232" xr:uid="{1888198E-FFDD-4F31-85A3-6F88C265153F}"/>
    <cellStyle name="Comma 4 3 4 4 3" xfId="5863" xr:uid="{00000000-0005-0000-0000-0000A7090000}"/>
    <cellStyle name="Comma 4 3 4 4 3 2" xfId="14305" xr:uid="{ED11E6AD-9C00-44A4-BB36-2D2A66E315EB}"/>
    <cellStyle name="Comma 4 3 4 4 4" xfId="10087" xr:uid="{3BB0CE30-0E78-4647-91A9-3FACD283E1B6}"/>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5FC433A1-0EE4-414E-AB91-26B8B9E9D92B}"/>
    <cellStyle name="Comma 4 3 4 5 2 3" xfId="12645" xr:uid="{7EC90278-31CB-4E2D-909C-B341AE0A71A9}"/>
    <cellStyle name="Comma 4 3 4 5 3" xfId="6276" xr:uid="{00000000-0005-0000-0000-0000AB090000}"/>
    <cellStyle name="Comma 4 3 4 5 3 2" xfId="14718" xr:uid="{11AA1D6D-8777-4EDA-A406-DC5EB42E9179}"/>
    <cellStyle name="Comma 4 3 4 5 4" xfId="10500" xr:uid="{550953C7-5BD1-4A94-9697-E002EFEB757A}"/>
    <cellStyle name="Comma 4 3 4 6" xfId="2404" xr:uid="{00000000-0005-0000-0000-0000AC090000}"/>
    <cellStyle name="Comma 4 3 4 6 2" xfId="6689" xr:uid="{00000000-0005-0000-0000-0000AD090000}"/>
    <cellStyle name="Comma 4 3 4 6 2 2" xfId="15131" xr:uid="{C733ECD9-D5B6-43E7-B825-10AF1026BDE3}"/>
    <cellStyle name="Comma 4 3 4 6 3" xfId="10913" xr:uid="{383F4177-2CAD-4219-8772-19054C8DE05D}"/>
    <cellStyle name="Comma 4 3 4 7" xfId="2700" xr:uid="{00000000-0005-0000-0000-0000AE090000}"/>
    <cellStyle name="Comma 4 3 4 8" xfId="2782" xr:uid="{00000000-0005-0000-0000-0000AF090000}"/>
    <cellStyle name="Comma 4 3 4 8 2" xfId="7006" xr:uid="{00000000-0005-0000-0000-0000B0090000}"/>
    <cellStyle name="Comma 4 3 4 8 2 2" xfId="15448" xr:uid="{F3047696-2AE0-462A-BC2F-6AADD4FE4B11}"/>
    <cellStyle name="Comma 4 3 4 8 3" xfId="11230" xr:uid="{15BBDF7E-F477-4067-A572-623146FDBFA3}"/>
    <cellStyle name="Comma 4 3 4 9" xfId="4623" xr:uid="{00000000-0005-0000-0000-0000B1090000}"/>
    <cellStyle name="Comma 4 3 4 9 2" xfId="13065" xr:uid="{7E037D6A-7645-4F30-9F96-10FB15586A32}"/>
    <cellStyle name="Comma 4 3 5" xfId="152" xr:uid="{00000000-0005-0000-0000-0000B2090000}"/>
    <cellStyle name="Comma 4 3 5 10" xfId="8848" xr:uid="{B8220AA3-4458-4C53-9865-CBE37F4ED3F2}"/>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FF0E91E1-068B-4D1A-9782-D5326EC815A7}"/>
    <cellStyle name="Comma 4 3 5 2 2 3" xfId="11407" xr:uid="{BAA27C84-53CE-4FBE-B36E-BDFC40E6B7CD}"/>
    <cellStyle name="Comma 4 3 5 2 3" xfId="5038" xr:uid="{00000000-0005-0000-0000-0000B6090000}"/>
    <cellStyle name="Comma 4 3 5 2 3 2" xfId="13480" xr:uid="{23CDF372-45AA-4F03-B231-14F529044B60}"/>
    <cellStyle name="Comma 4 3 5 2 4" xfId="9262" xr:uid="{CD0ACAAB-DEB5-41A5-B92B-A405457F560C}"/>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D15E509E-4458-4DF7-935C-A194294539F8}"/>
    <cellStyle name="Comma 4 3 5 3 2 3" xfId="11820" xr:uid="{4ABF7706-3356-4EFF-8B3E-6DC78163C40D}"/>
    <cellStyle name="Comma 4 3 5 3 3" xfId="5451" xr:uid="{00000000-0005-0000-0000-0000BA090000}"/>
    <cellStyle name="Comma 4 3 5 3 3 2" xfId="13893" xr:uid="{0993CF6D-C2FE-4BF1-A56F-96E31C6C1258}"/>
    <cellStyle name="Comma 4 3 5 3 4" xfId="9675" xr:uid="{946E5070-0C0C-44C0-815F-E124901B36C2}"/>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5F9E029D-EC63-4D0B-8965-FE2F7AB17079}"/>
    <cellStyle name="Comma 4 3 5 4 2 3" xfId="12233" xr:uid="{6F35B1FF-5623-46D1-ABB0-03D4A6D0C913}"/>
    <cellStyle name="Comma 4 3 5 4 3" xfId="5864" xr:uid="{00000000-0005-0000-0000-0000BE090000}"/>
    <cellStyle name="Comma 4 3 5 4 3 2" xfId="14306" xr:uid="{42E24AFF-4D68-46E4-9517-99537BE02FFD}"/>
    <cellStyle name="Comma 4 3 5 4 4" xfId="10088" xr:uid="{08D2FE97-F4E0-4F6D-A644-030C9787F0A9}"/>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AC462E4E-6449-45C1-8404-7FA00E73B225}"/>
    <cellStyle name="Comma 4 3 5 5 2 3" xfId="12646" xr:uid="{00585C8E-CC17-4C60-98F6-ED6D5E566811}"/>
    <cellStyle name="Comma 4 3 5 5 3" xfId="6277" xr:uid="{00000000-0005-0000-0000-0000C2090000}"/>
    <cellStyle name="Comma 4 3 5 5 3 2" xfId="14719" xr:uid="{025F4A2D-35CE-411B-890C-0569207EBF61}"/>
    <cellStyle name="Comma 4 3 5 5 4" xfId="10501" xr:uid="{C43CBB50-0798-4EB8-8C94-6661892F79A4}"/>
    <cellStyle name="Comma 4 3 5 6" xfId="2405" xr:uid="{00000000-0005-0000-0000-0000C3090000}"/>
    <cellStyle name="Comma 4 3 5 6 2" xfId="6690" xr:uid="{00000000-0005-0000-0000-0000C4090000}"/>
    <cellStyle name="Comma 4 3 5 6 2 2" xfId="15132" xr:uid="{EE702DB2-DC3F-4775-9E98-426F03428332}"/>
    <cellStyle name="Comma 4 3 5 6 3" xfId="10914" xr:uid="{C50F4C4D-B913-4C25-A8F5-D83F49B6360B}"/>
    <cellStyle name="Comma 4 3 5 7" xfId="2701" xr:uid="{00000000-0005-0000-0000-0000C5090000}"/>
    <cellStyle name="Comma 4 3 5 8" xfId="2783" xr:uid="{00000000-0005-0000-0000-0000C6090000}"/>
    <cellStyle name="Comma 4 3 5 8 2" xfId="7007" xr:uid="{00000000-0005-0000-0000-0000C7090000}"/>
    <cellStyle name="Comma 4 3 5 8 2 2" xfId="15449" xr:uid="{F3AE3385-55D2-4169-892A-0E36CA2C99BB}"/>
    <cellStyle name="Comma 4 3 5 8 3" xfId="11231" xr:uid="{62E97852-F8E8-486A-B835-734651AB8C2C}"/>
    <cellStyle name="Comma 4 3 5 9" xfId="4624" xr:uid="{00000000-0005-0000-0000-0000C8090000}"/>
    <cellStyle name="Comma 4 3 5 9 2" xfId="13066" xr:uid="{D8B3A2F8-828C-4DE7-A23F-485F19F569A7}"/>
    <cellStyle name="Comma 4 4" xfId="153" xr:uid="{00000000-0005-0000-0000-0000C9090000}"/>
    <cellStyle name="Comma 4 4 10" xfId="2784" xr:uid="{00000000-0005-0000-0000-0000CA090000}"/>
    <cellStyle name="Comma 4 4 10 2" xfId="7008" xr:uid="{00000000-0005-0000-0000-0000CB090000}"/>
    <cellStyle name="Comma 4 4 10 2 2" xfId="15450" xr:uid="{8A4DB715-B2C4-44FF-98B4-98D65A5840F4}"/>
    <cellStyle name="Comma 4 4 10 3" xfId="11232" xr:uid="{86D4CE11-2E5C-4D2D-99AA-E7A5E52B15FC}"/>
    <cellStyle name="Comma 4 4 11" xfId="4625" xr:uid="{00000000-0005-0000-0000-0000CC090000}"/>
    <cellStyle name="Comma 4 4 11 2" xfId="13067" xr:uid="{7A778BEB-6A63-4C0C-8244-41C9E858B83D}"/>
    <cellStyle name="Comma 4 4 12" xfId="8849" xr:uid="{F8A017D9-8544-4F37-9453-547E165C8D82}"/>
    <cellStyle name="Comma 4 4 2" xfId="154" xr:uid="{00000000-0005-0000-0000-0000CD090000}"/>
    <cellStyle name="Comma 4 4 2 10" xfId="4626" xr:uid="{00000000-0005-0000-0000-0000CE090000}"/>
    <cellStyle name="Comma 4 4 2 10 2" xfId="13068" xr:uid="{2A40A02B-D972-45F0-9F13-BADEA990CCE4}"/>
    <cellStyle name="Comma 4 4 2 11" xfId="8850" xr:uid="{2AD52068-BC5D-44A5-9E80-E3B3C21ADADB}"/>
    <cellStyle name="Comma 4 4 2 2" xfId="155" xr:uid="{00000000-0005-0000-0000-0000CF090000}"/>
    <cellStyle name="Comma 4 4 2 2 10" xfId="8851" xr:uid="{0F1DFB31-2E20-4880-96E1-ABBCC03E064B}"/>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D97A22C5-EAC2-4CB3-86C1-92DE8F6AE67C}"/>
    <cellStyle name="Comma 4 4 2 2 2 2 3" xfId="11410" xr:uid="{A4C0476F-517D-498A-9D1F-D0CB203FE50B}"/>
    <cellStyle name="Comma 4 4 2 2 2 3" xfId="5041" xr:uid="{00000000-0005-0000-0000-0000D3090000}"/>
    <cellStyle name="Comma 4 4 2 2 2 3 2" xfId="13483" xr:uid="{CE9091FA-2B21-4FBA-A9AD-AA0BCB2A9B1D}"/>
    <cellStyle name="Comma 4 4 2 2 2 4" xfId="9265" xr:uid="{8E235516-A5BE-4141-96C1-20E1CC367C20}"/>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A7D0F3DC-E67D-48D5-869B-3D6B738BAEA5}"/>
    <cellStyle name="Comma 4 4 2 2 3 2 3" xfId="11823" xr:uid="{2F876B60-384A-473F-B991-7CF9C426F036}"/>
    <cellStyle name="Comma 4 4 2 2 3 3" xfId="5454" xr:uid="{00000000-0005-0000-0000-0000D7090000}"/>
    <cellStyle name="Comma 4 4 2 2 3 3 2" xfId="13896" xr:uid="{6E6BBBEE-C616-416D-B48B-7202394640FA}"/>
    <cellStyle name="Comma 4 4 2 2 3 4" xfId="9678" xr:uid="{D311CE19-B64B-42E2-B445-DDF94F7B4847}"/>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CDECCEA2-EF4A-4C2B-AF17-E97A237E4264}"/>
    <cellStyle name="Comma 4 4 2 2 4 2 3" xfId="12236" xr:uid="{1D937338-5FA3-48ED-90DA-CC4FA4DDF48A}"/>
    <cellStyle name="Comma 4 4 2 2 4 3" xfId="5867" xr:uid="{00000000-0005-0000-0000-0000DB090000}"/>
    <cellStyle name="Comma 4 4 2 2 4 3 2" xfId="14309" xr:uid="{DC962884-6CA1-4B71-BA16-A1672D9EC703}"/>
    <cellStyle name="Comma 4 4 2 2 4 4" xfId="10091" xr:uid="{603AD308-7983-4CF1-9939-3C88DB4DEA66}"/>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62005933-B556-492F-830C-8530CA0A7D47}"/>
    <cellStyle name="Comma 4 4 2 2 5 2 3" xfId="12649" xr:uid="{433F2C72-F3D5-4782-ADCD-F62878DF0085}"/>
    <cellStyle name="Comma 4 4 2 2 5 3" xfId="6280" xr:uid="{00000000-0005-0000-0000-0000DF090000}"/>
    <cellStyle name="Comma 4 4 2 2 5 3 2" xfId="14722" xr:uid="{3E4E1A23-BE9F-4653-8EE0-773AF2259232}"/>
    <cellStyle name="Comma 4 4 2 2 5 4" xfId="10504" xr:uid="{5C008B6D-6575-4A1E-99BB-140586A64580}"/>
    <cellStyle name="Comma 4 4 2 2 6" xfId="2408" xr:uid="{00000000-0005-0000-0000-0000E0090000}"/>
    <cellStyle name="Comma 4 4 2 2 6 2" xfId="6693" xr:uid="{00000000-0005-0000-0000-0000E1090000}"/>
    <cellStyle name="Comma 4 4 2 2 6 2 2" xfId="15135" xr:uid="{5E1B66B1-66B4-4215-BEA3-EAC17ADCB75C}"/>
    <cellStyle name="Comma 4 4 2 2 6 3" xfId="10917" xr:uid="{7730CE4C-A415-4FCD-B548-C84178C56809}"/>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9034C6DA-1970-42D5-9D7B-8DB290CF3761}"/>
    <cellStyle name="Comma 4 4 2 2 8 3" xfId="11234" xr:uid="{022C05A1-462A-4EB7-A66A-82F6E67A3C4B}"/>
    <cellStyle name="Comma 4 4 2 2 9" xfId="4627" xr:uid="{00000000-0005-0000-0000-0000E5090000}"/>
    <cellStyle name="Comma 4 4 2 2 9 2" xfId="13069" xr:uid="{0D03DA3F-1E88-4916-B693-CD026F283DB9}"/>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CF0A3AF3-1EE6-4965-905D-FDC78FE11300}"/>
    <cellStyle name="Comma 4 4 2 3 2 3" xfId="11409" xr:uid="{D44FEA58-2298-4EDB-BACF-FCC3B6A88080}"/>
    <cellStyle name="Comma 4 4 2 3 3" xfId="5040" xr:uid="{00000000-0005-0000-0000-0000E9090000}"/>
    <cellStyle name="Comma 4 4 2 3 3 2" xfId="13482" xr:uid="{78F80E0A-B15D-4F64-BB94-C3F9DA09BC81}"/>
    <cellStyle name="Comma 4 4 2 3 4" xfId="9264" xr:uid="{8487A951-C529-4D3E-9EFE-95037E87062C}"/>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F9F00A1D-9FC2-484D-AC4A-9825A03E7132}"/>
    <cellStyle name="Comma 4 4 2 4 2 3" xfId="11822" xr:uid="{EF113897-AEEF-45F7-8EBF-1EF64DD5D3C9}"/>
    <cellStyle name="Comma 4 4 2 4 3" xfId="5453" xr:uid="{00000000-0005-0000-0000-0000ED090000}"/>
    <cellStyle name="Comma 4 4 2 4 3 2" xfId="13895" xr:uid="{5C469828-0795-4582-B96B-B897F11AF85D}"/>
    <cellStyle name="Comma 4 4 2 4 4" xfId="9677" xr:uid="{2BB3A47D-5522-49F7-8B8E-7E1BA3634018}"/>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DBC07FA0-FA92-4F09-B328-9B63C08A0334}"/>
    <cellStyle name="Comma 4 4 2 5 2 3" xfId="12235" xr:uid="{E93B5D3B-FAF1-47F6-BA18-2246929B8865}"/>
    <cellStyle name="Comma 4 4 2 5 3" xfId="5866" xr:uid="{00000000-0005-0000-0000-0000F1090000}"/>
    <cellStyle name="Comma 4 4 2 5 3 2" xfId="14308" xr:uid="{FAC9105C-C5B1-48F4-B78D-E79CF2642890}"/>
    <cellStyle name="Comma 4 4 2 5 4" xfId="10090" xr:uid="{97C8B002-0C36-48C7-A1E8-3EE9887143A4}"/>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1C7CF6DF-CBA0-4799-856B-A892AEE8C162}"/>
    <cellStyle name="Comma 4 4 2 6 2 3" xfId="12648" xr:uid="{6353EAD2-B3CC-413C-9796-FBD021666753}"/>
    <cellStyle name="Comma 4 4 2 6 3" xfId="6279" xr:uid="{00000000-0005-0000-0000-0000F5090000}"/>
    <cellStyle name="Comma 4 4 2 6 3 2" xfId="14721" xr:uid="{6CC1BC08-9A5F-4778-AA7B-69CDA16387AC}"/>
    <cellStyle name="Comma 4 4 2 6 4" xfId="10503" xr:uid="{5FEB8A61-F3B0-4023-BD0D-055D00ABCB49}"/>
    <cellStyle name="Comma 4 4 2 7" xfId="2407" xr:uid="{00000000-0005-0000-0000-0000F6090000}"/>
    <cellStyle name="Comma 4 4 2 7 2" xfId="6692" xr:uid="{00000000-0005-0000-0000-0000F7090000}"/>
    <cellStyle name="Comma 4 4 2 7 2 2" xfId="15134" xr:uid="{AB183A2F-967D-4BB2-832F-FC37D54EC4AC}"/>
    <cellStyle name="Comma 4 4 2 7 3" xfId="10916" xr:uid="{EC9A09F8-7B1A-411D-8EDC-4C02CDBADC76}"/>
    <cellStyle name="Comma 4 4 2 8" xfId="2703" xr:uid="{00000000-0005-0000-0000-0000F8090000}"/>
    <cellStyle name="Comma 4 4 2 9" xfId="2785" xr:uid="{00000000-0005-0000-0000-0000F9090000}"/>
    <cellStyle name="Comma 4 4 2 9 2" xfId="7009" xr:uid="{00000000-0005-0000-0000-0000FA090000}"/>
    <cellStyle name="Comma 4 4 2 9 2 2" xfId="15451" xr:uid="{695CF164-9C00-4A27-8C2C-CBCA53915CE9}"/>
    <cellStyle name="Comma 4 4 2 9 3" xfId="11233" xr:uid="{4D20440C-5FEF-4E2E-8A77-F7A9D603503F}"/>
    <cellStyle name="Comma 4 4 3" xfId="156" xr:uid="{00000000-0005-0000-0000-0000FB090000}"/>
    <cellStyle name="Comma 4 4 3 10" xfId="8852" xr:uid="{71073EFD-566A-49FA-A727-29733A74E8B5}"/>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8CB9625B-3591-42E2-8F91-FCFBC2B159C0}"/>
    <cellStyle name="Comma 4 4 3 2 2 3" xfId="11411" xr:uid="{131F8047-8094-4E2A-92CF-62E3EF6F2E22}"/>
    <cellStyle name="Comma 4 4 3 2 3" xfId="5042" xr:uid="{00000000-0005-0000-0000-0000FF090000}"/>
    <cellStyle name="Comma 4 4 3 2 3 2" xfId="13484" xr:uid="{3FE3FCE2-06EE-4286-9A63-9CFEB672081D}"/>
    <cellStyle name="Comma 4 4 3 2 4" xfId="9266" xr:uid="{AC327E9C-1DC4-44A8-83FC-E6C3129FD519}"/>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8277DFC3-F21F-479C-B1CF-F278FCE3A160}"/>
    <cellStyle name="Comma 4 4 3 3 2 3" xfId="11824" xr:uid="{9E84A71F-0BB5-4AB2-9B0B-DE751160CCF8}"/>
    <cellStyle name="Comma 4 4 3 3 3" xfId="5455" xr:uid="{00000000-0005-0000-0000-0000030A0000}"/>
    <cellStyle name="Comma 4 4 3 3 3 2" xfId="13897" xr:uid="{29B4945B-F16D-4544-9F29-F65FAAE314F7}"/>
    <cellStyle name="Comma 4 4 3 3 4" xfId="9679" xr:uid="{3D43E4DB-8D42-4068-9677-5FACF80387A6}"/>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D261670D-5567-4C43-B6BD-9A99259287A7}"/>
    <cellStyle name="Comma 4 4 3 4 2 3" xfId="12237" xr:uid="{270AA6E0-2A30-46AE-BA69-7C0DBC6961F2}"/>
    <cellStyle name="Comma 4 4 3 4 3" xfId="5868" xr:uid="{00000000-0005-0000-0000-0000070A0000}"/>
    <cellStyle name="Comma 4 4 3 4 3 2" xfId="14310" xr:uid="{24A392C3-DF36-4678-84F2-5FA32AF50C3B}"/>
    <cellStyle name="Comma 4 4 3 4 4" xfId="10092" xr:uid="{7AE15E99-5ACC-4414-A7FB-3D80F33C3431}"/>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70C5413F-8A84-4A0F-AEEB-86F873000A3C}"/>
    <cellStyle name="Comma 4 4 3 5 2 3" xfId="12650" xr:uid="{72A5C5FF-7DC9-4364-94BA-DD586D8B191B}"/>
    <cellStyle name="Comma 4 4 3 5 3" xfId="6281" xr:uid="{00000000-0005-0000-0000-00000B0A0000}"/>
    <cellStyle name="Comma 4 4 3 5 3 2" xfId="14723" xr:uid="{34EF5BF2-6587-4E29-ADE4-83F317496DDB}"/>
    <cellStyle name="Comma 4 4 3 5 4" xfId="10505" xr:uid="{9ECA1DBE-CC75-4C04-8CC3-505347445428}"/>
    <cellStyle name="Comma 4 4 3 6" xfId="2409" xr:uid="{00000000-0005-0000-0000-00000C0A0000}"/>
    <cellStyle name="Comma 4 4 3 6 2" xfId="6694" xr:uid="{00000000-0005-0000-0000-00000D0A0000}"/>
    <cellStyle name="Comma 4 4 3 6 2 2" xfId="15136" xr:uid="{1C6FB1ED-B04F-417C-8060-86C9AA000A60}"/>
    <cellStyle name="Comma 4 4 3 6 3" xfId="10918" xr:uid="{3BC9C2A9-F915-45F3-9E8D-A49A528B3470}"/>
    <cellStyle name="Comma 4 4 3 7" xfId="2705" xr:uid="{00000000-0005-0000-0000-00000E0A0000}"/>
    <cellStyle name="Comma 4 4 3 8" xfId="2787" xr:uid="{00000000-0005-0000-0000-00000F0A0000}"/>
    <cellStyle name="Comma 4 4 3 8 2" xfId="7011" xr:uid="{00000000-0005-0000-0000-0000100A0000}"/>
    <cellStyle name="Comma 4 4 3 8 2 2" xfId="15453" xr:uid="{CF079EEE-8082-4448-B3A4-443C693E0D9D}"/>
    <cellStyle name="Comma 4 4 3 8 3" xfId="11235" xr:uid="{536B2353-4A98-4B4D-B4B5-11BA9CF0788E}"/>
    <cellStyle name="Comma 4 4 3 9" xfId="4628" xr:uid="{00000000-0005-0000-0000-0000110A0000}"/>
    <cellStyle name="Comma 4 4 3 9 2" xfId="13070" xr:uid="{11456084-B908-4D5F-9E4A-FC1EB04DA693}"/>
    <cellStyle name="Comma 4 4 4" xfId="690" xr:uid="{00000000-0005-0000-0000-0000120A0000}"/>
    <cellStyle name="Comma 4 4 4 2" xfId="2961" xr:uid="{00000000-0005-0000-0000-0000130A0000}"/>
    <cellStyle name="Comma 4 4 4 2 2" xfId="7184" xr:uid="{00000000-0005-0000-0000-0000140A0000}"/>
    <cellStyle name="Comma 4 4 4 2 2 2" xfId="15626" xr:uid="{8BFBA8E9-5E5F-4A4C-92C0-69825E768CA9}"/>
    <cellStyle name="Comma 4 4 4 2 3" xfId="11408" xr:uid="{4FFB41E4-838E-47B8-84E7-AB2F5ABE060F}"/>
    <cellStyle name="Comma 4 4 4 3" xfId="5039" xr:uid="{00000000-0005-0000-0000-0000150A0000}"/>
    <cellStyle name="Comma 4 4 4 3 2" xfId="13481" xr:uid="{A8023D67-14F8-4B16-9703-2F234CA86653}"/>
    <cellStyle name="Comma 4 4 4 4" xfId="9263" xr:uid="{44E465C0-BB03-4FB9-A57D-3BF94CE24A90}"/>
    <cellStyle name="Comma 4 4 5" xfId="1143" xr:uid="{00000000-0005-0000-0000-0000160A0000}"/>
    <cellStyle name="Comma 4 4 5 2" xfId="3374" xr:uid="{00000000-0005-0000-0000-0000170A0000}"/>
    <cellStyle name="Comma 4 4 5 2 2" xfId="7597" xr:uid="{00000000-0005-0000-0000-0000180A0000}"/>
    <cellStyle name="Comma 4 4 5 2 2 2" xfId="16039" xr:uid="{94C25BAB-B89B-4F91-A56F-C7D46850BD93}"/>
    <cellStyle name="Comma 4 4 5 2 3" xfId="11821" xr:uid="{D46C0B94-DCCA-4D54-A34C-499EC9AA5A2D}"/>
    <cellStyle name="Comma 4 4 5 3" xfId="5452" xr:uid="{00000000-0005-0000-0000-0000190A0000}"/>
    <cellStyle name="Comma 4 4 5 3 2" xfId="13894" xr:uid="{3EE48F17-C7C6-4416-B2D7-8B03B664D1CC}"/>
    <cellStyle name="Comma 4 4 5 4" xfId="9676" xr:uid="{28380C0C-A2B4-487E-84E3-DF4FB6581BE6}"/>
    <cellStyle name="Comma 4 4 6" xfId="1557" xr:uid="{00000000-0005-0000-0000-00001A0A0000}"/>
    <cellStyle name="Comma 4 4 6 2" xfId="3787" xr:uid="{00000000-0005-0000-0000-00001B0A0000}"/>
    <cellStyle name="Comma 4 4 6 2 2" xfId="8010" xr:uid="{00000000-0005-0000-0000-00001C0A0000}"/>
    <cellStyle name="Comma 4 4 6 2 2 2" xfId="16452" xr:uid="{A1003D75-7B3D-4540-B834-42BD84A88735}"/>
    <cellStyle name="Comma 4 4 6 2 3" xfId="12234" xr:uid="{EAF20F89-02E5-42A9-8CA2-BE79764EF432}"/>
    <cellStyle name="Comma 4 4 6 3" xfId="5865" xr:uid="{00000000-0005-0000-0000-00001D0A0000}"/>
    <cellStyle name="Comma 4 4 6 3 2" xfId="14307" xr:uid="{92D69420-B18B-437F-9101-8EF8BE285C42}"/>
    <cellStyle name="Comma 4 4 6 4" xfId="10089" xr:uid="{6E6E334F-8149-4547-9E07-36DEC0F53F8B}"/>
    <cellStyle name="Comma 4 4 7" xfId="1971" xr:uid="{00000000-0005-0000-0000-00001E0A0000}"/>
    <cellStyle name="Comma 4 4 7 2" xfId="4200" xr:uid="{00000000-0005-0000-0000-00001F0A0000}"/>
    <cellStyle name="Comma 4 4 7 2 2" xfId="8423" xr:uid="{00000000-0005-0000-0000-0000200A0000}"/>
    <cellStyle name="Comma 4 4 7 2 2 2" xfId="16865" xr:uid="{D2E2EFC0-6D51-4464-9878-82741289CD2F}"/>
    <cellStyle name="Comma 4 4 7 2 3" xfId="12647" xr:uid="{970B6771-0D61-4972-8E20-F537719712AB}"/>
    <cellStyle name="Comma 4 4 7 3" xfId="6278" xr:uid="{00000000-0005-0000-0000-0000210A0000}"/>
    <cellStyle name="Comma 4 4 7 3 2" xfId="14720" xr:uid="{980E2306-FCAC-411D-85F7-83D7FC8EA15E}"/>
    <cellStyle name="Comma 4 4 7 4" xfId="10502" xr:uid="{3022B78D-4B13-4A78-A0DF-895F9B3A22DD}"/>
    <cellStyle name="Comma 4 4 8" xfId="2406" xr:uid="{00000000-0005-0000-0000-0000220A0000}"/>
    <cellStyle name="Comma 4 4 8 2" xfId="6691" xr:uid="{00000000-0005-0000-0000-0000230A0000}"/>
    <cellStyle name="Comma 4 4 8 2 2" xfId="15133" xr:uid="{A493E141-033C-4993-94F7-B77E1D697A5E}"/>
    <cellStyle name="Comma 4 4 8 3" xfId="10915" xr:uid="{11485620-710A-404E-90B9-E88A789E95A4}"/>
    <cellStyle name="Comma 4 4 9" xfId="2702" xr:uid="{00000000-0005-0000-0000-0000240A0000}"/>
    <cellStyle name="Comma 4 5" xfId="157" xr:uid="{00000000-0005-0000-0000-0000250A0000}"/>
    <cellStyle name="Comma 4 5 10" xfId="4629" xr:uid="{00000000-0005-0000-0000-0000260A0000}"/>
    <cellStyle name="Comma 4 5 10 2" xfId="13071" xr:uid="{928721EA-23C8-418D-BF44-2BE708DA0949}"/>
    <cellStyle name="Comma 4 5 11" xfId="8853" xr:uid="{22DC298B-F302-42D7-92AF-F28A66E171BA}"/>
    <cellStyle name="Comma 4 5 2" xfId="158" xr:uid="{00000000-0005-0000-0000-0000270A0000}"/>
    <cellStyle name="Comma 4 5 2 10" xfId="8854" xr:uid="{8A4AFF81-FF67-4928-A21F-D616DC9D2071}"/>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24BE1BA5-FDF6-48C4-8DCD-C8F0C1530831}"/>
    <cellStyle name="Comma 4 5 2 2 2 3" xfId="11413" xr:uid="{1418B59B-1CC9-4F31-A52F-4695DB2813BD}"/>
    <cellStyle name="Comma 4 5 2 2 3" xfId="5044" xr:uid="{00000000-0005-0000-0000-00002B0A0000}"/>
    <cellStyle name="Comma 4 5 2 2 3 2" xfId="13486" xr:uid="{FC3D8AF9-C3AE-45FC-9333-FD390377EADD}"/>
    <cellStyle name="Comma 4 5 2 2 4" xfId="9268" xr:uid="{2E0BEDE9-F53D-4F8B-8455-58DEDE413DD1}"/>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64BF8DFF-07AB-4431-83B0-FD20E84A9E0C}"/>
    <cellStyle name="Comma 4 5 2 3 2 3" xfId="11826" xr:uid="{996EE9E2-D0E5-414E-8FAB-731AC1D4913D}"/>
    <cellStyle name="Comma 4 5 2 3 3" xfId="5457" xr:uid="{00000000-0005-0000-0000-00002F0A0000}"/>
    <cellStyle name="Comma 4 5 2 3 3 2" xfId="13899" xr:uid="{0C7C8EED-7406-4C12-B042-95752E64B0CB}"/>
    <cellStyle name="Comma 4 5 2 3 4" xfId="9681" xr:uid="{3A5F6758-FDA1-435C-AEF9-F8846752D77B}"/>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AA13DF74-98B6-4810-862C-A51C5756C0B6}"/>
    <cellStyle name="Comma 4 5 2 4 2 3" xfId="12239" xr:uid="{65F7190D-37EB-4726-A646-A6BD32449320}"/>
    <cellStyle name="Comma 4 5 2 4 3" xfId="5870" xr:uid="{00000000-0005-0000-0000-0000330A0000}"/>
    <cellStyle name="Comma 4 5 2 4 3 2" xfId="14312" xr:uid="{565D28D0-5365-4309-9296-02DCC5E3ED65}"/>
    <cellStyle name="Comma 4 5 2 4 4" xfId="10094" xr:uid="{733C5372-A66C-4075-829E-F2023EAFEB2C}"/>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EAC6BBD7-238E-4FA3-A6DA-E4634B717539}"/>
    <cellStyle name="Comma 4 5 2 5 2 3" xfId="12652" xr:uid="{57447936-14CD-4B48-9B5B-FE8028F5D87C}"/>
    <cellStyle name="Comma 4 5 2 5 3" xfId="6283" xr:uid="{00000000-0005-0000-0000-0000370A0000}"/>
    <cellStyle name="Comma 4 5 2 5 3 2" xfId="14725" xr:uid="{31808123-0A15-4C8A-B970-ECC1DB965101}"/>
    <cellStyle name="Comma 4 5 2 5 4" xfId="10507" xr:uid="{9A8A2E66-7AAF-4D62-8E50-0D9BA0C5C879}"/>
    <cellStyle name="Comma 4 5 2 6" xfId="2411" xr:uid="{00000000-0005-0000-0000-0000380A0000}"/>
    <cellStyle name="Comma 4 5 2 6 2" xfId="6696" xr:uid="{00000000-0005-0000-0000-0000390A0000}"/>
    <cellStyle name="Comma 4 5 2 6 2 2" xfId="15138" xr:uid="{36815735-57D1-41C4-9D8B-549DA847E80C}"/>
    <cellStyle name="Comma 4 5 2 6 3" xfId="10920" xr:uid="{49C746E1-9CB5-47F0-A785-86DE780C109D}"/>
    <cellStyle name="Comma 4 5 2 7" xfId="2707" xr:uid="{00000000-0005-0000-0000-00003A0A0000}"/>
    <cellStyle name="Comma 4 5 2 8" xfId="2789" xr:uid="{00000000-0005-0000-0000-00003B0A0000}"/>
    <cellStyle name="Comma 4 5 2 8 2" xfId="7013" xr:uid="{00000000-0005-0000-0000-00003C0A0000}"/>
    <cellStyle name="Comma 4 5 2 8 2 2" xfId="15455" xr:uid="{6D38D788-EC23-444F-B7A9-A1508E201582}"/>
    <cellStyle name="Comma 4 5 2 8 3" xfId="11237" xr:uid="{7AA6857F-5256-4D4E-86E9-B828BA0459C6}"/>
    <cellStyle name="Comma 4 5 2 9" xfId="4630" xr:uid="{00000000-0005-0000-0000-00003D0A0000}"/>
    <cellStyle name="Comma 4 5 2 9 2" xfId="13072" xr:uid="{48ED2FBC-D965-403A-9C36-2F3508241A34}"/>
    <cellStyle name="Comma 4 5 3" xfId="694" xr:uid="{00000000-0005-0000-0000-00003E0A0000}"/>
    <cellStyle name="Comma 4 5 3 2" xfId="2965" xr:uid="{00000000-0005-0000-0000-00003F0A0000}"/>
    <cellStyle name="Comma 4 5 3 2 2" xfId="7188" xr:uid="{00000000-0005-0000-0000-0000400A0000}"/>
    <cellStyle name="Comma 4 5 3 2 2 2" xfId="15630" xr:uid="{A0F036B3-E8D9-49C0-9AF9-C528C6083C6E}"/>
    <cellStyle name="Comma 4 5 3 2 3" xfId="11412" xr:uid="{FDBAB29E-C879-4969-A4F4-0EF7532D8518}"/>
    <cellStyle name="Comma 4 5 3 3" xfId="5043" xr:uid="{00000000-0005-0000-0000-0000410A0000}"/>
    <cellStyle name="Comma 4 5 3 3 2" xfId="13485" xr:uid="{CA63EC87-E767-4746-BC4A-759729DAC62D}"/>
    <cellStyle name="Comma 4 5 3 4" xfId="9267" xr:uid="{8A512FEB-AF41-4EF6-AEBC-B1BD8026E5A7}"/>
    <cellStyle name="Comma 4 5 4" xfId="1147" xr:uid="{00000000-0005-0000-0000-0000420A0000}"/>
    <cellStyle name="Comma 4 5 4 2" xfId="3378" xr:uid="{00000000-0005-0000-0000-0000430A0000}"/>
    <cellStyle name="Comma 4 5 4 2 2" xfId="7601" xr:uid="{00000000-0005-0000-0000-0000440A0000}"/>
    <cellStyle name="Comma 4 5 4 2 2 2" xfId="16043" xr:uid="{2C735D4B-0716-4070-8923-B290DD8FF682}"/>
    <cellStyle name="Comma 4 5 4 2 3" xfId="11825" xr:uid="{93493B26-DC9E-4CD8-8579-48A11B68A03E}"/>
    <cellStyle name="Comma 4 5 4 3" xfId="5456" xr:uid="{00000000-0005-0000-0000-0000450A0000}"/>
    <cellStyle name="Comma 4 5 4 3 2" xfId="13898" xr:uid="{FA72ACC4-919F-493F-B5A4-A32078CD1897}"/>
    <cellStyle name="Comma 4 5 4 4" xfId="9680" xr:uid="{5411F60B-5599-44E4-900F-AA861AAC16A6}"/>
    <cellStyle name="Comma 4 5 5" xfId="1561" xr:uid="{00000000-0005-0000-0000-0000460A0000}"/>
    <cellStyle name="Comma 4 5 5 2" xfId="3791" xr:uid="{00000000-0005-0000-0000-0000470A0000}"/>
    <cellStyle name="Comma 4 5 5 2 2" xfId="8014" xr:uid="{00000000-0005-0000-0000-0000480A0000}"/>
    <cellStyle name="Comma 4 5 5 2 2 2" xfId="16456" xr:uid="{F4EAB3B6-467D-4911-A285-0E93F40E61FD}"/>
    <cellStyle name="Comma 4 5 5 2 3" xfId="12238" xr:uid="{BD07F50A-5E96-4AAC-AF9D-0F977987AAFE}"/>
    <cellStyle name="Comma 4 5 5 3" xfId="5869" xr:uid="{00000000-0005-0000-0000-0000490A0000}"/>
    <cellStyle name="Comma 4 5 5 3 2" xfId="14311" xr:uid="{E2AA6DDC-D5E0-453A-BF96-DC2E1EF294D9}"/>
    <cellStyle name="Comma 4 5 5 4" xfId="10093" xr:uid="{D25DDE76-874D-4ABC-87DA-C07DD34C5B83}"/>
    <cellStyle name="Comma 4 5 6" xfId="1975" xr:uid="{00000000-0005-0000-0000-00004A0A0000}"/>
    <cellStyle name="Comma 4 5 6 2" xfId="4204" xr:uid="{00000000-0005-0000-0000-00004B0A0000}"/>
    <cellStyle name="Comma 4 5 6 2 2" xfId="8427" xr:uid="{00000000-0005-0000-0000-00004C0A0000}"/>
    <cellStyle name="Comma 4 5 6 2 2 2" xfId="16869" xr:uid="{4B5E7071-DA39-4959-AAEE-D186FC9B3A10}"/>
    <cellStyle name="Comma 4 5 6 2 3" xfId="12651" xr:uid="{29D1299D-1440-4977-9F3C-E631DCB98CDF}"/>
    <cellStyle name="Comma 4 5 6 3" xfId="6282" xr:uid="{00000000-0005-0000-0000-00004D0A0000}"/>
    <cellStyle name="Comma 4 5 6 3 2" xfId="14724" xr:uid="{D3E319B1-D170-4E99-9D05-94DEE823D38A}"/>
    <cellStyle name="Comma 4 5 6 4" xfId="10506" xr:uid="{8E6145B4-D37B-4038-9866-03154B57DC1C}"/>
    <cellStyle name="Comma 4 5 7" xfId="2410" xr:uid="{00000000-0005-0000-0000-00004E0A0000}"/>
    <cellStyle name="Comma 4 5 7 2" xfId="6695" xr:uid="{00000000-0005-0000-0000-00004F0A0000}"/>
    <cellStyle name="Comma 4 5 7 2 2" xfId="15137" xr:uid="{769093DB-3370-4825-84B7-FB55A13EDAF4}"/>
    <cellStyle name="Comma 4 5 7 3" xfId="10919" xr:uid="{14DF4C11-77A9-41FB-9CAC-22D2FD8B7234}"/>
    <cellStyle name="Comma 4 5 8" xfId="2706" xr:uid="{00000000-0005-0000-0000-0000500A0000}"/>
    <cellStyle name="Comma 4 5 9" xfId="2788" xr:uid="{00000000-0005-0000-0000-0000510A0000}"/>
    <cellStyle name="Comma 4 5 9 2" xfId="7012" xr:uid="{00000000-0005-0000-0000-0000520A0000}"/>
    <cellStyle name="Comma 4 5 9 2 2" xfId="15454" xr:uid="{413070A9-D4C8-4B02-BEC7-34105B764CC0}"/>
    <cellStyle name="Comma 4 5 9 3" xfId="11236" xr:uid="{87B5C8AA-5C3C-49E5-B366-BE474135D6B3}"/>
    <cellStyle name="Comma 4 6" xfId="159" xr:uid="{00000000-0005-0000-0000-0000530A0000}"/>
    <cellStyle name="Comma 4 6 10" xfId="8855" xr:uid="{6B232BAF-D17F-4870-AB8F-4F6496186BB2}"/>
    <cellStyle name="Comma 4 6 2" xfId="696" xr:uid="{00000000-0005-0000-0000-0000540A0000}"/>
    <cellStyle name="Comma 4 6 2 2" xfId="2967" xr:uid="{00000000-0005-0000-0000-0000550A0000}"/>
    <cellStyle name="Comma 4 6 2 2 2" xfId="7190" xr:uid="{00000000-0005-0000-0000-0000560A0000}"/>
    <cellStyle name="Comma 4 6 2 2 2 2" xfId="15632" xr:uid="{70EFDFCB-F3AE-430A-9BD9-3301C506E3F7}"/>
    <cellStyle name="Comma 4 6 2 2 3" xfId="11414" xr:uid="{B249242D-C907-4A3A-82BD-470EF9699299}"/>
    <cellStyle name="Comma 4 6 2 3" xfId="5045" xr:uid="{00000000-0005-0000-0000-0000570A0000}"/>
    <cellStyle name="Comma 4 6 2 3 2" xfId="13487" xr:uid="{8EC2C954-9796-4686-8E68-DA90BBC5B1D4}"/>
    <cellStyle name="Comma 4 6 2 4" xfId="9269" xr:uid="{DCF92B76-BCBF-4520-B6B4-DCB17C3D0F3D}"/>
    <cellStyle name="Comma 4 6 3" xfId="1149" xr:uid="{00000000-0005-0000-0000-0000580A0000}"/>
    <cellStyle name="Comma 4 6 3 2" xfId="3380" xr:uid="{00000000-0005-0000-0000-0000590A0000}"/>
    <cellStyle name="Comma 4 6 3 2 2" xfId="7603" xr:uid="{00000000-0005-0000-0000-00005A0A0000}"/>
    <cellStyle name="Comma 4 6 3 2 2 2" xfId="16045" xr:uid="{24C858CD-0461-4042-B0F6-0C5D52D8C956}"/>
    <cellStyle name="Comma 4 6 3 2 3" xfId="11827" xr:uid="{CA760DD7-E1AE-42FC-A030-7AAE1221C21F}"/>
    <cellStyle name="Comma 4 6 3 3" xfId="5458" xr:uid="{00000000-0005-0000-0000-00005B0A0000}"/>
    <cellStyle name="Comma 4 6 3 3 2" xfId="13900" xr:uid="{DDEEF660-A422-44C7-8B09-7E641BF17294}"/>
    <cellStyle name="Comma 4 6 3 4" xfId="9682" xr:uid="{922739E8-A108-4002-B498-F5CB2F41C68C}"/>
    <cellStyle name="Comma 4 6 4" xfId="1563" xr:uid="{00000000-0005-0000-0000-00005C0A0000}"/>
    <cellStyle name="Comma 4 6 4 2" xfId="3793" xr:uid="{00000000-0005-0000-0000-00005D0A0000}"/>
    <cellStyle name="Comma 4 6 4 2 2" xfId="8016" xr:uid="{00000000-0005-0000-0000-00005E0A0000}"/>
    <cellStyle name="Comma 4 6 4 2 2 2" xfId="16458" xr:uid="{6DF8D317-4E69-4CA8-BE47-1A8A5119387E}"/>
    <cellStyle name="Comma 4 6 4 2 3" xfId="12240" xr:uid="{9CA86FA1-E12F-420E-8991-81978994A1E9}"/>
    <cellStyle name="Comma 4 6 4 3" xfId="5871" xr:uid="{00000000-0005-0000-0000-00005F0A0000}"/>
    <cellStyle name="Comma 4 6 4 3 2" xfId="14313" xr:uid="{4937512C-02E2-4FF0-ADBD-4B2D47D4AA63}"/>
    <cellStyle name="Comma 4 6 4 4" xfId="10095" xr:uid="{070764AE-DF4F-4825-A3B0-CCC7FD1CA25A}"/>
    <cellStyle name="Comma 4 6 5" xfId="1977" xr:uid="{00000000-0005-0000-0000-0000600A0000}"/>
    <cellStyle name="Comma 4 6 5 2" xfId="4206" xr:uid="{00000000-0005-0000-0000-0000610A0000}"/>
    <cellStyle name="Comma 4 6 5 2 2" xfId="8429" xr:uid="{00000000-0005-0000-0000-0000620A0000}"/>
    <cellStyle name="Comma 4 6 5 2 2 2" xfId="16871" xr:uid="{0B5E25B2-4C1C-4F2C-BA2F-79A0021C5C62}"/>
    <cellStyle name="Comma 4 6 5 2 3" xfId="12653" xr:uid="{05C056D6-787A-4F08-89DD-AEFFB027A946}"/>
    <cellStyle name="Comma 4 6 5 3" xfId="6284" xr:uid="{00000000-0005-0000-0000-0000630A0000}"/>
    <cellStyle name="Comma 4 6 5 3 2" xfId="14726" xr:uid="{DD099F45-C6B0-4187-9BE7-9812682BB915}"/>
    <cellStyle name="Comma 4 6 5 4" xfId="10508" xr:uid="{5A76A54B-C5FB-4334-BBAE-3F671423FC89}"/>
    <cellStyle name="Comma 4 6 6" xfId="2412" xr:uid="{00000000-0005-0000-0000-0000640A0000}"/>
    <cellStyle name="Comma 4 6 6 2" xfId="6697" xr:uid="{00000000-0005-0000-0000-0000650A0000}"/>
    <cellStyle name="Comma 4 6 6 2 2" xfId="15139" xr:uid="{F36E1BEB-6F52-4F4B-AE26-5E8DB1252FCE}"/>
    <cellStyle name="Comma 4 6 6 3" xfId="10921" xr:uid="{9F302C02-A1B7-4238-82F9-A5D5F0588EE4}"/>
    <cellStyle name="Comma 4 6 7" xfId="2708" xr:uid="{00000000-0005-0000-0000-0000660A0000}"/>
    <cellStyle name="Comma 4 6 8" xfId="2790" xr:uid="{00000000-0005-0000-0000-0000670A0000}"/>
    <cellStyle name="Comma 4 6 8 2" xfId="7014" xr:uid="{00000000-0005-0000-0000-0000680A0000}"/>
    <cellStyle name="Comma 4 6 8 2 2" xfId="15456" xr:uid="{F4E451D7-0D29-4106-87A7-FFFAAD0DF2DF}"/>
    <cellStyle name="Comma 4 6 8 3" xfId="11238" xr:uid="{A521A058-F0C4-493A-97DC-621B5409A764}"/>
    <cellStyle name="Comma 4 6 9" xfId="4631" xr:uid="{00000000-0005-0000-0000-0000690A0000}"/>
    <cellStyle name="Comma 4 6 9 2" xfId="13073" xr:uid="{B5F50D4C-97B6-4EB3-A120-431F1946CBBF}"/>
    <cellStyle name="Comma 4 7" xfId="160" xr:uid="{00000000-0005-0000-0000-00006A0A0000}"/>
    <cellStyle name="Comma 4 7 10" xfId="8856" xr:uid="{20A4E37F-31B3-4B31-B874-669B8197D065}"/>
    <cellStyle name="Comma 4 7 2" xfId="697" xr:uid="{00000000-0005-0000-0000-00006B0A0000}"/>
    <cellStyle name="Comma 4 7 2 2" xfId="2968" xr:uid="{00000000-0005-0000-0000-00006C0A0000}"/>
    <cellStyle name="Comma 4 7 2 2 2" xfId="7191" xr:uid="{00000000-0005-0000-0000-00006D0A0000}"/>
    <cellStyle name="Comma 4 7 2 2 2 2" xfId="15633" xr:uid="{00EF9432-DDF9-4B16-B868-335DD35A92E3}"/>
    <cellStyle name="Comma 4 7 2 2 3" xfId="11415" xr:uid="{F0363440-6F14-4EF7-8ABF-E5E2814CFC25}"/>
    <cellStyle name="Comma 4 7 2 3" xfId="5046" xr:uid="{00000000-0005-0000-0000-00006E0A0000}"/>
    <cellStyle name="Comma 4 7 2 3 2" xfId="13488" xr:uid="{2BCDB9A0-F5EF-42A8-84F6-CE880A68E1A5}"/>
    <cellStyle name="Comma 4 7 2 4" xfId="9270" xr:uid="{B8C9D1BC-E3AD-49EA-BF5C-055F951FD477}"/>
    <cellStyle name="Comma 4 7 3" xfId="1150" xr:uid="{00000000-0005-0000-0000-00006F0A0000}"/>
    <cellStyle name="Comma 4 7 3 2" xfId="3381" xr:uid="{00000000-0005-0000-0000-0000700A0000}"/>
    <cellStyle name="Comma 4 7 3 2 2" xfId="7604" xr:uid="{00000000-0005-0000-0000-0000710A0000}"/>
    <cellStyle name="Comma 4 7 3 2 2 2" xfId="16046" xr:uid="{5731515F-1DE0-4A55-B68C-689752AD7729}"/>
    <cellStyle name="Comma 4 7 3 2 3" xfId="11828" xr:uid="{03D6625F-C266-46A1-9F3D-45131BEB34CA}"/>
    <cellStyle name="Comma 4 7 3 3" xfId="5459" xr:uid="{00000000-0005-0000-0000-0000720A0000}"/>
    <cellStyle name="Comma 4 7 3 3 2" xfId="13901" xr:uid="{C42DD2D7-1467-4364-8CE5-311C78B485BF}"/>
    <cellStyle name="Comma 4 7 3 4" xfId="9683" xr:uid="{E4542ECF-8DED-4B93-B556-A4039BC2A1C7}"/>
    <cellStyle name="Comma 4 7 4" xfId="1564" xr:uid="{00000000-0005-0000-0000-0000730A0000}"/>
    <cellStyle name="Comma 4 7 4 2" xfId="3794" xr:uid="{00000000-0005-0000-0000-0000740A0000}"/>
    <cellStyle name="Comma 4 7 4 2 2" xfId="8017" xr:uid="{00000000-0005-0000-0000-0000750A0000}"/>
    <cellStyle name="Comma 4 7 4 2 2 2" xfId="16459" xr:uid="{7427E039-2125-4C31-B9F3-336A375A84FB}"/>
    <cellStyle name="Comma 4 7 4 2 3" xfId="12241" xr:uid="{CE4E7CD0-A8F6-4DC0-AEC0-ACD97EA35C1F}"/>
    <cellStyle name="Comma 4 7 4 3" xfId="5872" xr:uid="{00000000-0005-0000-0000-0000760A0000}"/>
    <cellStyle name="Comma 4 7 4 3 2" xfId="14314" xr:uid="{5AEF4710-7554-480F-AFDB-5B31C4533E71}"/>
    <cellStyle name="Comma 4 7 4 4" xfId="10096" xr:uid="{B68D03DD-8425-436F-8E81-0BE86299AF32}"/>
    <cellStyle name="Comma 4 7 5" xfId="1978" xr:uid="{00000000-0005-0000-0000-0000770A0000}"/>
    <cellStyle name="Comma 4 7 5 2" xfId="4207" xr:uid="{00000000-0005-0000-0000-0000780A0000}"/>
    <cellStyle name="Comma 4 7 5 2 2" xfId="8430" xr:uid="{00000000-0005-0000-0000-0000790A0000}"/>
    <cellStyle name="Comma 4 7 5 2 2 2" xfId="16872" xr:uid="{E2C06DE0-B99B-4C50-806D-F6C89BF99488}"/>
    <cellStyle name="Comma 4 7 5 2 3" xfId="12654" xr:uid="{80896C3A-51DD-4BDC-874F-4D4645239A64}"/>
    <cellStyle name="Comma 4 7 5 3" xfId="6285" xr:uid="{00000000-0005-0000-0000-00007A0A0000}"/>
    <cellStyle name="Comma 4 7 5 3 2" xfId="14727" xr:uid="{DE8DB883-E747-4DAA-B9F7-978371FFB08E}"/>
    <cellStyle name="Comma 4 7 5 4" xfId="10509" xr:uid="{5C7FBF91-6B10-4894-A2E8-E509D4DF7946}"/>
    <cellStyle name="Comma 4 7 6" xfId="2413" xr:uid="{00000000-0005-0000-0000-00007B0A0000}"/>
    <cellStyle name="Comma 4 7 6 2" xfId="6698" xr:uid="{00000000-0005-0000-0000-00007C0A0000}"/>
    <cellStyle name="Comma 4 7 6 2 2" xfId="15140" xr:uid="{1874B6B9-44C9-4EA6-AA9A-3625C1BB8FEA}"/>
    <cellStyle name="Comma 4 7 6 3" xfId="10922" xr:uid="{C9DFCAF5-E33E-476A-9361-6B3822D782F8}"/>
    <cellStyle name="Comma 4 7 7" xfId="2709" xr:uid="{00000000-0005-0000-0000-00007D0A0000}"/>
    <cellStyle name="Comma 4 7 8" xfId="2791" xr:uid="{00000000-0005-0000-0000-00007E0A0000}"/>
    <cellStyle name="Comma 4 7 8 2" xfId="7015" xr:uid="{00000000-0005-0000-0000-00007F0A0000}"/>
    <cellStyle name="Comma 4 7 8 2 2" xfId="15457" xr:uid="{F61693CB-A7B1-4FB6-BB8C-1A66842A1E65}"/>
    <cellStyle name="Comma 4 7 8 3" xfId="11239" xr:uid="{364C0DA5-B179-474D-BCA3-3E28067A6379}"/>
    <cellStyle name="Comma 4 7 9" xfId="4632" xr:uid="{00000000-0005-0000-0000-0000800A0000}"/>
    <cellStyle name="Comma 4 7 9 2" xfId="13074" xr:uid="{3099A72E-47AD-4C34-9FDA-2810C9A4EC7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C7DBE42D-D3FD-4F94-BA6A-308AF75BFCD9}"/>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87616426-EF30-401F-AB6D-4528909BF78A}"/>
    <cellStyle name="Currency 14 3" xfId="8720" xr:uid="{729B09A7-2394-4D7C-912C-1471FB3455A3}"/>
    <cellStyle name="Currency 14 3 2" xfId="8724" xr:uid="{1945FB0F-31EC-4D98-B64C-BAFBADA341A1}"/>
    <cellStyle name="Currency 14 3 2 2" xfId="8727" xr:uid="{03BA8DEE-11D2-406B-B26D-8EE163916FB0}"/>
    <cellStyle name="Currency 14 3 3" xfId="17162" xr:uid="{BB9C8E71-8C99-4643-A86B-7FDF2A9F3693}"/>
    <cellStyle name="Currency 14 4" xfId="12945" xr:uid="{CF4335AF-B1D0-49FE-8D72-6CE5C68543D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1F7BB6A4-15FB-46DA-9902-590F68F269B5}"/>
    <cellStyle name="Currency 3 2 2 10 3" xfId="11240" xr:uid="{B10B878B-0F9A-4C75-9849-1502ABB96EDA}"/>
    <cellStyle name="Currency 3 2 2 11" xfId="4633" xr:uid="{00000000-0005-0000-0000-0000A50A0000}"/>
    <cellStyle name="Currency 3 2 2 11 2" xfId="13075" xr:uid="{C71E41F5-0BB3-43AE-BE63-F392401F53F9}"/>
    <cellStyle name="Currency 3 2 2 12" xfId="8857" xr:uid="{8AD497AC-B2AC-4A98-B71C-607DE84C4133}"/>
    <cellStyle name="Currency 3 2 2 2" xfId="179" xr:uid="{00000000-0005-0000-0000-0000A60A0000}"/>
    <cellStyle name="Currency 3 2 2 2 10" xfId="4634" xr:uid="{00000000-0005-0000-0000-0000A70A0000}"/>
    <cellStyle name="Currency 3 2 2 2 10 2" xfId="13076" xr:uid="{A9AAA264-8F38-49D7-809F-7DBC884C7DD9}"/>
    <cellStyle name="Currency 3 2 2 2 11" xfId="8858" xr:uid="{1E2F3392-43AA-4432-99B6-3B01D5C89388}"/>
    <cellStyle name="Currency 3 2 2 2 2" xfId="180" xr:uid="{00000000-0005-0000-0000-0000A80A0000}"/>
    <cellStyle name="Currency 3 2 2 2 2 10" xfId="8859" xr:uid="{42845E6C-76C2-4E22-A484-32FD9A9A17CE}"/>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085903E8-908B-41CE-914B-571AC535C616}"/>
    <cellStyle name="Currency 3 2 2 2 2 2 2 3" xfId="11418" xr:uid="{E8294A94-6441-4806-9C30-07C6803020A5}"/>
    <cellStyle name="Currency 3 2 2 2 2 2 3" xfId="5049" xr:uid="{00000000-0005-0000-0000-0000AC0A0000}"/>
    <cellStyle name="Currency 3 2 2 2 2 2 3 2" xfId="13491" xr:uid="{99DF76E2-054E-4DAE-8CC7-43C71FE6FAC9}"/>
    <cellStyle name="Currency 3 2 2 2 2 2 4" xfId="9273" xr:uid="{FC4B7210-3B6E-42AF-9FA5-5DBBA9726BDF}"/>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B7E981F4-455A-4C97-AD70-DA03E496DDDA}"/>
    <cellStyle name="Currency 3 2 2 2 2 3 2 3" xfId="11831" xr:uid="{91D932B9-BA72-4AAD-9119-11C68B09CA5B}"/>
    <cellStyle name="Currency 3 2 2 2 2 3 3" xfId="5462" xr:uid="{00000000-0005-0000-0000-0000B00A0000}"/>
    <cellStyle name="Currency 3 2 2 2 2 3 3 2" xfId="13904" xr:uid="{31CBEEED-FD5A-4E9B-8E54-E8AD1DDD48AB}"/>
    <cellStyle name="Currency 3 2 2 2 2 3 4" xfId="9686" xr:uid="{FE465F0E-15CB-4731-A59A-2F7A2159CDCD}"/>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7FD1B8E1-4458-42CF-B91E-A46A92000C49}"/>
    <cellStyle name="Currency 3 2 2 2 2 4 2 3" xfId="12244" xr:uid="{A1359129-6E6C-40FB-8F6F-B86457C6BA79}"/>
    <cellStyle name="Currency 3 2 2 2 2 4 3" xfId="5875" xr:uid="{00000000-0005-0000-0000-0000B40A0000}"/>
    <cellStyle name="Currency 3 2 2 2 2 4 3 2" xfId="14317" xr:uid="{5254AA79-6AEF-4C84-A2CE-A790F7E31692}"/>
    <cellStyle name="Currency 3 2 2 2 2 4 4" xfId="10099" xr:uid="{F24530A9-0FE0-430D-A15D-6701A07F205D}"/>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8EADE4D6-ECB4-4280-A993-B1D7EFA73B1A}"/>
    <cellStyle name="Currency 3 2 2 2 2 5 2 3" xfId="12657" xr:uid="{66DCEC83-6AF9-485A-A006-F58E9D6417D1}"/>
    <cellStyle name="Currency 3 2 2 2 2 5 3" xfId="6288" xr:uid="{00000000-0005-0000-0000-0000B80A0000}"/>
    <cellStyle name="Currency 3 2 2 2 2 5 3 2" xfId="14730" xr:uid="{4E89C05D-FC7A-4060-AE28-FD750EE73533}"/>
    <cellStyle name="Currency 3 2 2 2 2 5 4" xfId="10512" xr:uid="{E58ED0E6-DD08-40CD-A7E6-39E437B4118C}"/>
    <cellStyle name="Currency 3 2 2 2 2 6" xfId="2416" xr:uid="{00000000-0005-0000-0000-0000B90A0000}"/>
    <cellStyle name="Currency 3 2 2 2 2 6 2" xfId="6701" xr:uid="{00000000-0005-0000-0000-0000BA0A0000}"/>
    <cellStyle name="Currency 3 2 2 2 2 6 2 2" xfId="15143" xr:uid="{1087208E-3959-4FB3-AE55-D2014637AD66}"/>
    <cellStyle name="Currency 3 2 2 2 2 6 3" xfId="10925" xr:uid="{88E501D3-9E2E-499D-941F-C19CA3D8C90A}"/>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F1F3234C-3A13-4DF5-BFFF-9F7633C55C7E}"/>
    <cellStyle name="Currency 3 2 2 2 2 8 3" xfId="11242" xr:uid="{58D9C0C5-3E57-47DA-8471-F711ACB59307}"/>
    <cellStyle name="Currency 3 2 2 2 2 9" xfId="4635" xr:uid="{00000000-0005-0000-0000-0000BE0A0000}"/>
    <cellStyle name="Currency 3 2 2 2 2 9 2" xfId="13077" xr:uid="{85559ABD-5EDB-4078-9591-D729A95152F2}"/>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E65BF44B-493F-488C-AD2C-8C8968F1746D}"/>
    <cellStyle name="Currency 3 2 2 2 3 2 3" xfId="11417" xr:uid="{D23C4AB0-C805-4D4E-9533-A17DC9FF2C25}"/>
    <cellStyle name="Currency 3 2 2 2 3 3" xfId="5048" xr:uid="{00000000-0005-0000-0000-0000C20A0000}"/>
    <cellStyle name="Currency 3 2 2 2 3 3 2" xfId="13490" xr:uid="{9D5BF070-05A0-4029-B44D-3D2701B0166F}"/>
    <cellStyle name="Currency 3 2 2 2 3 4" xfId="9272" xr:uid="{6E840766-78CA-4ADC-9AC1-2C4A82F94455}"/>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648E0FED-2374-44FE-9FE6-3508A5532806}"/>
    <cellStyle name="Currency 3 2 2 2 4 2 3" xfId="11830" xr:uid="{1298544A-7DD6-4468-8675-12D7C271F0E7}"/>
    <cellStyle name="Currency 3 2 2 2 4 3" xfId="5461" xr:uid="{00000000-0005-0000-0000-0000C60A0000}"/>
    <cellStyle name="Currency 3 2 2 2 4 3 2" xfId="13903" xr:uid="{A17C1C96-E58E-4AFE-8245-DC8FD1F2489B}"/>
    <cellStyle name="Currency 3 2 2 2 4 4" xfId="9685" xr:uid="{52BD92C0-DB49-494F-865B-93A599A5BC46}"/>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C0384539-5388-4AF5-91B3-2F9A9820B813}"/>
    <cellStyle name="Currency 3 2 2 2 5 2 3" xfId="12243" xr:uid="{DCEDAA1D-4AF4-4A7A-9CF4-81F118BFAE69}"/>
    <cellStyle name="Currency 3 2 2 2 5 3" xfId="5874" xr:uid="{00000000-0005-0000-0000-0000CA0A0000}"/>
    <cellStyle name="Currency 3 2 2 2 5 3 2" xfId="14316" xr:uid="{AEBFB3FA-FFBD-4A3F-B797-B2A319424782}"/>
    <cellStyle name="Currency 3 2 2 2 5 4" xfId="10098" xr:uid="{68BCFAAF-59A0-4F42-BE54-1CFF02CFED8D}"/>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384B7EB1-2FC1-4F54-8986-801AB9808C6B}"/>
    <cellStyle name="Currency 3 2 2 2 6 2 3" xfId="12656" xr:uid="{00A60895-990C-4B10-A93A-64CC246007D4}"/>
    <cellStyle name="Currency 3 2 2 2 6 3" xfId="6287" xr:uid="{00000000-0005-0000-0000-0000CE0A0000}"/>
    <cellStyle name="Currency 3 2 2 2 6 3 2" xfId="14729" xr:uid="{5E1100BB-ADBE-48D8-B69C-FBDBEE47EF4A}"/>
    <cellStyle name="Currency 3 2 2 2 6 4" xfId="10511" xr:uid="{CB99B515-9774-43E3-940D-7D667215ABBB}"/>
    <cellStyle name="Currency 3 2 2 2 7" xfId="2415" xr:uid="{00000000-0005-0000-0000-0000CF0A0000}"/>
    <cellStyle name="Currency 3 2 2 2 7 2" xfId="6700" xr:uid="{00000000-0005-0000-0000-0000D00A0000}"/>
    <cellStyle name="Currency 3 2 2 2 7 2 2" xfId="15142" xr:uid="{0CE477AD-E229-48C1-B933-087CD677D64C}"/>
    <cellStyle name="Currency 3 2 2 2 7 3" xfId="10924" xr:uid="{A63CC51D-9506-42DA-B1B9-E0FD5C5662DC}"/>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010C21F9-1293-4C4D-A8C6-4F45D47EF66B}"/>
    <cellStyle name="Currency 3 2 2 2 9 3" xfId="11241" xr:uid="{0C88D149-50FA-43E3-85A7-6D8F6463E38E}"/>
    <cellStyle name="Currency 3 2 2 3" xfId="181" xr:uid="{00000000-0005-0000-0000-0000D40A0000}"/>
    <cellStyle name="Currency 3 2 2 3 10" xfId="8860" xr:uid="{51431344-BC19-4685-BD82-D760C9AB697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93BFCCB7-AE4D-428C-8361-36DEA5625258}"/>
    <cellStyle name="Currency 3 2 2 3 2 2 3" xfId="11419" xr:uid="{9512FB9A-500A-4EC7-A649-CC76473CA500}"/>
    <cellStyle name="Currency 3 2 2 3 2 3" xfId="5050" xr:uid="{00000000-0005-0000-0000-0000D80A0000}"/>
    <cellStyle name="Currency 3 2 2 3 2 3 2" xfId="13492" xr:uid="{D997870C-7F96-47A0-9CA3-C6C67BD526C5}"/>
    <cellStyle name="Currency 3 2 2 3 2 4" xfId="9274" xr:uid="{4B5015D6-F479-44A4-AE05-59E4AF437DC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C105306E-B5C0-45BC-BED7-4557F811C32A}"/>
    <cellStyle name="Currency 3 2 2 3 3 2 3" xfId="11832" xr:uid="{BD1E323D-D3E8-400A-8948-8CDA8B526735}"/>
    <cellStyle name="Currency 3 2 2 3 3 3" xfId="5463" xr:uid="{00000000-0005-0000-0000-0000DC0A0000}"/>
    <cellStyle name="Currency 3 2 2 3 3 3 2" xfId="13905" xr:uid="{9A0C8C2F-F335-40B9-91B4-462E8EF5BD40}"/>
    <cellStyle name="Currency 3 2 2 3 3 4" xfId="9687" xr:uid="{1B9A29A7-516E-41D6-AF7C-9197605B69F1}"/>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A577C9A5-657B-44A7-8F83-0AA5AFF3AE14}"/>
    <cellStyle name="Currency 3 2 2 3 4 2 3" xfId="12245" xr:uid="{695D0CCE-8474-46E4-9B94-9D26DCD71208}"/>
    <cellStyle name="Currency 3 2 2 3 4 3" xfId="5876" xr:uid="{00000000-0005-0000-0000-0000E00A0000}"/>
    <cellStyle name="Currency 3 2 2 3 4 3 2" xfId="14318" xr:uid="{E52A098F-8A75-4E2B-958B-FCB930CC5DBC}"/>
    <cellStyle name="Currency 3 2 2 3 4 4" xfId="10100" xr:uid="{711E7749-EED4-4653-BAD2-2FA7FE5BEBA4}"/>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C3C0AA58-673D-4A21-A37D-259123FBE713}"/>
    <cellStyle name="Currency 3 2 2 3 5 2 3" xfId="12658" xr:uid="{812FF377-65EE-4F9B-9CB5-7B41177DBB40}"/>
    <cellStyle name="Currency 3 2 2 3 5 3" xfId="6289" xr:uid="{00000000-0005-0000-0000-0000E40A0000}"/>
    <cellStyle name="Currency 3 2 2 3 5 3 2" xfId="14731" xr:uid="{ADA6B838-3420-41E8-A3EE-8F3C2B78EC2F}"/>
    <cellStyle name="Currency 3 2 2 3 5 4" xfId="10513" xr:uid="{0997CBC5-B356-4989-91B7-991E22DED4AE}"/>
    <cellStyle name="Currency 3 2 2 3 6" xfId="2417" xr:uid="{00000000-0005-0000-0000-0000E50A0000}"/>
    <cellStyle name="Currency 3 2 2 3 6 2" xfId="6702" xr:uid="{00000000-0005-0000-0000-0000E60A0000}"/>
    <cellStyle name="Currency 3 2 2 3 6 2 2" xfId="15144" xr:uid="{3553BB6C-785D-416A-A964-4D9D5B99C594}"/>
    <cellStyle name="Currency 3 2 2 3 6 3" xfId="10926" xr:uid="{DB34DC10-323F-4A5B-BE9A-0255BF4E4A66}"/>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5692A600-B62B-4AC7-96F4-C655DBE27AE2}"/>
    <cellStyle name="Currency 3 2 2 3 8 3" xfId="11243" xr:uid="{A050621F-C34B-4A03-9368-56C34A63B88E}"/>
    <cellStyle name="Currency 3 2 2 3 9" xfId="4636" xr:uid="{00000000-0005-0000-0000-0000EA0A0000}"/>
    <cellStyle name="Currency 3 2 2 3 9 2" xfId="13078" xr:uid="{728FF92C-55CF-4564-A531-91C58E8FD410}"/>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8651C7E9-8A06-4AEF-B5FE-D7F28E548C97}"/>
    <cellStyle name="Currency 3 2 2 4 2 3" xfId="11416" xr:uid="{DC2643BE-4DFD-4A25-8979-6B5989C585BF}"/>
    <cellStyle name="Currency 3 2 2 4 3" xfId="5047" xr:uid="{00000000-0005-0000-0000-0000EE0A0000}"/>
    <cellStyle name="Currency 3 2 2 4 3 2" xfId="13489" xr:uid="{5D51A8B1-6C57-4228-ABAB-EF8EAE737AB0}"/>
    <cellStyle name="Currency 3 2 2 4 4" xfId="9271" xr:uid="{A4482E6F-610B-4ED6-944A-764699B7FC74}"/>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33D2EB43-9496-4192-B393-BD5FE546CB30}"/>
    <cellStyle name="Currency 3 2 2 5 2 3" xfId="11829" xr:uid="{DD204A06-0C28-4453-96FF-CB64AD110AEF}"/>
    <cellStyle name="Currency 3 2 2 5 3" xfId="5460" xr:uid="{00000000-0005-0000-0000-0000F20A0000}"/>
    <cellStyle name="Currency 3 2 2 5 3 2" xfId="13902" xr:uid="{2F2D295C-2A3B-4130-963D-32133FE6BFB2}"/>
    <cellStyle name="Currency 3 2 2 5 4" xfId="9684" xr:uid="{EBC8446A-C8A7-44F1-9162-FE314C02B7EA}"/>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B54DE530-7825-44B8-9803-5FAB8FC568E0}"/>
    <cellStyle name="Currency 3 2 2 6 2 3" xfId="12242" xr:uid="{2B35CC34-A683-4D46-AC29-D51D20DC1A8A}"/>
    <cellStyle name="Currency 3 2 2 6 3" xfId="5873" xr:uid="{00000000-0005-0000-0000-0000F60A0000}"/>
    <cellStyle name="Currency 3 2 2 6 3 2" xfId="14315" xr:uid="{D054E35A-26A8-44D2-98E4-ECBAC280E8ED}"/>
    <cellStyle name="Currency 3 2 2 6 4" xfId="10097" xr:uid="{AD67861C-82FD-4DD7-9C71-639AFE4A4B60}"/>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17D4FEA6-E665-445F-8A02-A2603AB5448D}"/>
    <cellStyle name="Currency 3 2 2 7 2 3" xfId="12655" xr:uid="{592C3688-2C28-4F35-B88A-6569D5086156}"/>
    <cellStyle name="Currency 3 2 2 7 3" xfId="6286" xr:uid="{00000000-0005-0000-0000-0000FA0A0000}"/>
    <cellStyle name="Currency 3 2 2 7 3 2" xfId="14728" xr:uid="{89A69B17-36FD-4B7E-AE2A-D119428FF038}"/>
    <cellStyle name="Currency 3 2 2 7 4" xfId="10510" xr:uid="{38E07719-04ED-4C05-A11E-35C1A954B2AD}"/>
    <cellStyle name="Currency 3 2 2 8" xfId="2414" xr:uid="{00000000-0005-0000-0000-0000FB0A0000}"/>
    <cellStyle name="Currency 3 2 2 8 2" xfId="6699" xr:uid="{00000000-0005-0000-0000-0000FC0A0000}"/>
    <cellStyle name="Currency 3 2 2 8 2 2" xfId="15141" xr:uid="{D713A64C-9F9E-46EB-880A-86DC7751E480}"/>
    <cellStyle name="Currency 3 2 2 8 3" xfId="10923" xr:uid="{402A7BD1-5112-4951-849A-3413D46E119E}"/>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AF780201-0B58-48ED-AEF6-E6F460654401}"/>
    <cellStyle name="Currency 3 2 3 11" xfId="8861" xr:uid="{43847662-1531-4E86-A7BF-D1ABA43F5FE4}"/>
    <cellStyle name="Currency 3 2 3 2" xfId="183" xr:uid="{00000000-0005-0000-0000-0000000B0000}"/>
    <cellStyle name="Currency 3 2 3 2 10" xfId="8862" xr:uid="{EE6F2C04-8093-4059-A904-B964F34E9903}"/>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44DF1852-0E0B-40C0-91CC-37F6A41A291E}"/>
    <cellStyle name="Currency 3 2 3 2 2 2 3" xfId="11421" xr:uid="{AFD85A49-5F21-455D-B6EB-7D3FADD35975}"/>
    <cellStyle name="Currency 3 2 3 2 2 3" xfId="5052" xr:uid="{00000000-0005-0000-0000-0000040B0000}"/>
    <cellStyle name="Currency 3 2 3 2 2 3 2" xfId="13494" xr:uid="{6AD1198E-B695-4959-BB3F-8989F1E637A4}"/>
    <cellStyle name="Currency 3 2 3 2 2 4" xfId="9276" xr:uid="{211C7402-D4B1-4A0E-9EB7-3D73B9DC9D34}"/>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7044F4B6-9D92-44C5-9358-B5401B0F9DB1}"/>
    <cellStyle name="Currency 3 2 3 2 3 2 3" xfId="11834" xr:uid="{C0FB1077-0EC9-4BA6-AD1D-4C5FD366B38F}"/>
    <cellStyle name="Currency 3 2 3 2 3 3" xfId="5465" xr:uid="{00000000-0005-0000-0000-0000080B0000}"/>
    <cellStyle name="Currency 3 2 3 2 3 3 2" xfId="13907" xr:uid="{7EF6FC54-0585-434F-BB21-7A884CC65215}"/>
    <cellStyle name="Currency 3 2 3 2 3 4" xfId="9689" xr:uid="{55733CE9-8286-4485-9EB9-DE11BFD8011B}"/>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2BD8D85E-041D-47F9-8886-23F8A18C67ED}"/>
    <cellStyle name="Currency 3 2 3 2 4 2 3" xfId="12247" xr:uid="{134EE8B0-3F1B-49C5-80BA-417B6E1869CF}"/>
    <cellStyle name="Currency 3 2 3 2 4 3" xfId="5878" xr:uid="{00000000-0005-0000-0000-00000C0B0000}"/>
    <cellStyle name="Currency 3 2 3 2 4 3 2" xfId="14320" xr:uid="{A63290C3-E4F3-4106-827B-DEEF8D427960}"/>
    <cellStyle name="Currency 3 2 3 2 4 4" xfId="10102" xr:uid="{82D6329E-8A7C-49ED-ABB6-81893ACDF8C7}"/>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9AAAABCF-3FD1-43A4-8A3D-372590BFF945}"/>
    <cellStyle name="Currency 3 2 3 2 5 2 3" xfId="12660" xr:uid="{855219A6-6476-467C-B5DE-EBAB875180E8}"/>
    <cellStyle name="Currency 3 2 3 2 5 3" xfId="6291" xr:uid="{00000000-0005-0000-0000-0000100B0000}"/>
    <cellStyle name="Currency 3 2 3 2 5 3 2" xfId="14733" xr:uid="{2CD83475-C7BF-428B-A76F-A0ED8755CB54}"/>
    <cellStyle name="Currency 3 2 3 2 5 4" xfId="10515" xr:uid="{33664649-18D9-4ADD-A0A6-062F95191261}"/>
    <cellStyle name="Currency 3 2 3 2 6" xfId="2419" xr:uid="{00000000-0005-0000-0000-0000110B0000}"/>
    <cellStyle name="Currency 3 2 3 2 6 2" xfId="6704" xr:uid="{00000000-0005-0000-0000-0000120B0000}"/>
    <cellStyle name="Currency 3 2 3 2 6 2 2" xfId="15146" xr:uid="{2674DA87-3C4C-48A9-8D8A-63BAFA9150E1}"/>
    <cellStyle name="Currency 3 2 3 2 6 3" xfId="10928" xr:uid="{1AADAD00-F1EF-4A2E-B2C4-4C8D23AC5C5E}"/>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2835A963-A41E-4DD6-9C90-552DB13743CA}"/>
    <cellStyle name="Currency 3 2 3 2 8 3" xfId="11245" xr:uid="{D25A1DE3-4AD2-48E9-BE32-290765DAB76E}"/>
    <cellStyle name="Currency 3 2 3 2 9" xfId="4638" xr:uid="{00000000-0005-0000-0000-0000160B0000}"/>
    <cellStyle name="Currency 3 2 3 2 9 2" xfId="13080" xr:uid="{8A47A392-8765-4217-83B0-A8A99159FF82}"/>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7ABD0BE5-7B92-4D50-A818-F48AF1816B6F}"/>
    <cellStyle name="Currency 3 2 3 3 2 3" xfId="11420" xr:uid="{5A4586E0-C169-4DE0-B854-0454016F53D2}"/>
    <cellStyle name="Currency 3 2 3 3 3" xfId="5051" xr:uid="{00000000-0005-0000-0000-00001A0B0000}"/>
    <cellStyle name="Currency 3 2 3 3 3 2" xfId="13493" xr:uid="{DD68B2FB-A1EB-4DC7-B3DF-AC09401CDA8B}"/>
    <cellStyle name="Currency 3 2 3 3 4" xfId="9275" xr:uid="{EE704201-C133-4A34-A8E4-285FFD13F194}"/>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4AAF1163-B081-4C55-9AFC-239F0634F057}"/>
    <cellStyle name="Currency 3 2 3 4 2 3" xfId="11833" xr:uid="{C6F8CE28-41C0-439F-B343-D08F01FD2970}"/>
    <cellStyle name="Currency 3 2 3 4 3" xfId="5464" xr:uid="{00000000-0005-0000-0000-00001E0B0000}"/>
    <cellStyle name="Currency 3 2 3 4 3 2" xfId="13906" xr:uid="{C7C6DA1E-BE85-4BD3-9C04-CB2DA934B52A}"/>
    <cellStyle name="Currency 3 2 3 4 4" xfId="9688" xr:uid="{86224C78-07EE-46AD-832C-E5DC6C46C04D}"/>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9FE24C4A-2C38-4DDE-9429-4BDCFEA99BBB}"/>
    <cellStyle name="Currency 3 2 3 5 2 3" xfId="12246" xr:uid="{484FB477-71A7-475E-959F-54C09CA17F57}"/>
    <cellStyle name="Currency 3 2 3 5 3" xfId="5877" xr:uid="{00000000-0005-0000-0000-0000220B0000}"/>
    <cellStyle name="Currency 3 2 3 5 3 2" xfId="14319" xr:uid="{C5862BF6-3D15-46BA-B19E-2252D56E1A58}"/>
    <cellStyle name="Currency 3 2 3 5 4" xfId="10101" xr:uid="{0AC8A0F7-52C0-41EA-AECD-F0083EB797B1}"/>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964345D1-3FE6-4990-9CDC-E8A2BA26D78F}"/>
    <cellStyle name="Currency 3 2 3 6 2 3" xfId="12659" xr:uid="{167CB14E-086E-4D4C-A198-AFB39921E06C}"/>
    <cellStyle name="Currency 3 2 3 6 3" xfId="6290" xr:uid="{00000000-0005-0000-0000-0000260B0000}"/>
    <cellStyle name="Currency 3 2 3 6 3 2" xfId="14732" xr:uid="{A4642BE8-5438-4190-B6FD-9623B2283515}"/>
    <cellStyle name="Currency 3 2 3 6 4" xfId="10514" xr:uid="{C07DA65C-936C-43F8-B1F3-62B6CA32DEDB}"/>
    <cellStyle name="Currency 3 2 3 7" xfId="2418" xr:uid="{00000000-0005-0000-0000-0000270B0000}"/>
    <cellStyle name="Currency 3 2 3 7 2" xfId="6703" xr:uid="{00000000-0005-0000-0000-0000280B0000}"/>
    <cellStyle name="Currency 3 2 3 7 2 2" xfId="15145" xr:uid="{B3CB5460-6C8E-4EFA-B631-AC0F5948920F}"/>
    <cellStyle name="Currency 3 2 3 7 3" xfId="10927" xr:uid="{5BA9D406-61DB-4F08-85D5-5B74FADABED8}"/>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2213FE54-FAE1-4B78-A916-72E1581EC05A}"/>
    <cellStyle name="Currency 3 2 3 9 3" xfId="11244" xr:uid="{16E2C18D-BFE5-4D15-ABE5-729272782DC1}"/>
    <cellStyle name="Currency 3 2 4" xfId="184" xr:uid="{00000000-0005-0000-0000-00002C0B0000}"/>
    <cellStyle name="Currency 3 2 4 10" xfId="8863" xr:uid="{2AD25D73-F803-4C01-8041-F1B78DC429A3}"/>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FA08A3F4-38F1-4FFA-8315-A55CAB00FC89}"/>
    <cellStyle name="Currency 3 2 4 2 2 3" xfId="11422" xr:uid="{B69047C8-0188-4A25-A549-6589DC465BE5}"/>
    <cellStyle name="Currency 3 2 4 2 3" xfId="5053" xr:uid="{00000000-0005-0000-0000-0000300B0000}"/>
    <cellStyle name="Currency 3 2 4 2 3 2" xfId="13495" xr:uid="{FC855C33-0163-429E-BA6C-8F38C2FD59FB}"/>
    <cellStyle name="Currency 3 2 4 2 4" xfId="9277" xr:uid="{8BD7A929-47B6-4271-A0CE-3B171D5E9420}"/>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78CA19A3-DD7B-4FA6-8C2B-78D8FE1E23C4}"/>
    <cellStyle name="Currency 3 2 4 3 2 3" xfId="11835" xr:uid="{774450E6-F2F6-4BB2-AE4D-0E2CB3BBED1A}"/>
    <cellStyle name="Currency 3 2 4 3 3" xfId="5466" xr:uid="{00000000-0005-0000-0000-0000340B0000}"/>
    <cellStyle name="Currency 3 2 4 3 3 2" xfId="13908" xr:uid="{201EF50C-7228-42BE-8E80-BD453810B67E}"/>
    <cellStyle name="Currency 3 2 4 3 4" xfId="9690" xr:uid="{332B1A9F-AAA7-4711-817E-CFA63CA4366D}"/>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D0723FBA-2F9B-4F38-9A16-4445704CA6BC}"/>
    <cellStyle name="Currency 3 2 4 4 2 3" xfId="12248" xr:uid="{8826D80E-3629-4CBE-87C0-C8D134035C71}"/>
    <cellStyle name="Currency 3 2 4 4 3" xfId="5879" xr:uid="{00000000-0005-0000-0000-0000380B0000}"/>
    <cellStyle name="Currency 3 2 4 4 3 2" xfId="14321" xr:uid="{4122053A-CE5B-4E33-AB75-6D1145BDA860}"/>
    <cellStyle name="Currency 3 2 4 4 4" xfId="10103" xr:uid="{A1DEE095-D01C-480E-B954-E87534D116F5}"/>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6AEE8AB7-7C1E-4060-AEBE-B8D913117D8E}"/>
    <cellStyle name="Currency 3 2 4 5 2 3" xfId="12661" xr:uid="{EC99AB77-2BB2-4868-BE40-72C053E8FFDF}"/>
    <cellStyle name="Currency 3 2 4 5 3" xfId="6292" xr:uid="{00000000-0005-0000-0000-00003C0B0000}"/>
    <cellStyle name="Currency 3 2 4 5 3 2" xfId="14734" xr:uid="{E0F573FE-E0E8-4FAC-B17C-87AE09DDB032}"/>
    <cellStyle name="Currency 3 2 4 5 4" xfId="10516" xr:uid="{08D7D5FA-DED8-4D47-8456-A0D347E260AF}"/>
    <cellStyle name="Currency 3 2 4 6" xfId="2420" xr:uid="{00000000-0005-0000-0000-00003D0B0000}"/>
    <cellStyle name="Currency 3 2 4 6 2" xfId="6705" xr:uid="{00000000-0005-0000-0000-00003E0B0000}"/>
    <cellStyle name="Currency 3 2 4 6 2 2" xfId="15147" xr:uid="{970277C6-A3B8-4AFC-A6BE-387EFF37E08C}"/>
    <cellStyle name="Currency 3 2 4 6 3" xfId="10929" xr:uid="{019B441B-8AB0-46A3-9C20-FF9640A10D36}"/>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3C8FBF99-B2D8-4A60-91C4-1D2851677BBA}"/>
    <cellStyle name="Currency 3 2 4 8 3" xfId="11246" xr:uid="{421A030F-E698-4B77-8524-8B0E034B0681}"/>
    <cellStyle name="Currency 3 2 4 9" xfId="4639" xr:uid="{00000000-0005-0000-0000-0000420B0000}"/>
    <cellStyle name="Currency 3 2 4 9 2" xfId="13081" xr:uid="{D57EAE11-ADEE-49B8-8338-57B72D3680CF}"/>
    <cellStyle name="Currency 3 2 5" xfId="185" xr:uid="{00000000-0005-0000-0000-0000430B0000}"/>
    <cellStyle name="Currency 3 2 5 10" xfId="8864" xr:uid="{F60BBD8D-53A2-4202-962B-76C49B7D45BA}"/>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54A0817F-1F51-4899-915B-52A074E52313}"/>
    <cellStyle name="Currency 3 2 5 2 2 3" xfId="11423" xr:uid="{C5F87940-4912-4A8D-B228-2A35F31BCF53}"/>
    <cellStyle name="Currency 3 2 5 2 3" xfId="5054" xr:uid="{00000000-0005-0000-0000-0000470B0000}"/>
    <cellStyle name="Currency 3 2 5 2 3 2" xfId="13496" xr:uid="{80F7095B-3245-413A-8C1A-6DB88ADDBE6C}"/>
    <cellStyle name="Currency 3 2 5 2 4" xfId="9278" xr:uid="{5728A443-E6D5-4DD3-AF11-35B06C78D849}"/>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AFC38CE4-EB72-4F06-BC15-1A85E46C9579}"/>
    <cellStyle name="Currency 3 2 5 3 2 3" xfId="11836" xr:uid="{2D7B0007-629C-4ABD-B409-FDB637068D99}"/>
    <cellStyle name="Currency 3 2 5 3 3" xfId="5467" xr:uid="{00000000-0005-0000-0000-00004B0B0000}"/>
    <cellStyle name="Currency 3 2 5 3 3 2" xfId="13909" xr:uid="{44B9188C-A3D6-4C64-BBA9-0F40B83E95EC}"/>
    <cellStyle name="Currency 3 2 5 3 4" xfId="9691" xr:uid="{B91B770D-6DF2-4AE9-AC14-7DDA46719012}"/>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3A56C040-0001-4DB5-847F-A74E4D7CC7DD}"/>
    <cellStyle name="Currency 3 2 5 4 2 3" xfId="12249" xr:uid="{40868A35-18DF-4F40-95F7-7CEE6915709B}"/>
    <cellStyle name="Currency 3 2 5 4 3" xfId="5880" xr:uid="{00000000-0005-0000-0000-00004F0B0000}"/>
    <cellStyle name="Currency 3 2 5 4 3 2" xfId="14322" xr:uid="{9BC2551C-08C5-460D-A8AD-943E29DA7A14}"/>
    <cellStyle name="Currency 3 2 5 4 4" xfId="10104" xr:uid="{C54EE5A8-5365-45CD-8053-18E94E9F118C}"/>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290146AC-F1FB-4652-AEFB-068E7FEE3C10}"/>
    <cellStyle name="Currency 3 2 5 5 2 3" xfId="12662" xr:uid="{C7A07347-FCB6-4B5F-A832-A9415DE1A98E}"/>
    <cellStyle name="Currency 3 2 5 5 3" xfId="6293" xr:uid="{00000000-0005-0000-0000-0000530B0000}"/>
    <cellStyle name="Currency 3 2 5 5 3 2" xfId="14735" xr:uid="{3FE506AB-9A45-49E1-A9E6-34C4B643F00A}"/>
    <cellStyle name="Currency 3 2 5 5 4" xfId="10517" xr:uid="{815FFAFF-B292-4257-8939-E476AE38E690}"/>
    <cellStyle name="Currency 3 2 5 6" xfId="2421" xr:uid="{00000000-0005-0000-0000-0000540B0000}"/>
    <cellStyle name="Currency 3 2 5 6 2" xfId="6706" xr:uid="{00000000-0005-0000-0000-0000550B0000}"/>
    <cellStyle name="Currency 3 2 5 6 2 2" xfId="15148" xr:uid="{49B3BE9D-E0CC-4624-94F4-254078062651}"/>
    <cellStyle name="Currency 3 2 5 6 3" xfId="10930" xr:uid="{904FA880-F9F9-41F5-A35A-61582B7CA8F3}"/>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66A3DF9B-A34E-4C1B-83AA-0FC33C79881C}"/>
    <cellStyle name="Currency 3 2 5 8 3" xfId="11247" xr:uid="{05E8DA7A-37EC-4C2E-9CD7-A3EC41D16529}"/>
    <cellStyle name="Currency 3 2 5 9" xfId="4640" xr:uid="{00000000-0005-0000-0000-0000590B0000}"/>
    <cellStyle name="Currency 3 2 5 9 2" xfId="13082" xr:uid="{26B08EDE-6467-48D2-B947-0977C646B84F}"/>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A34913A7-C2D7-4C85-B50C-A6961FE410A0}"/>
    <cellStyle name="Currency 5 2 2 2 10 3" xfId="11248" xr:uid="{5FC2645C-14B2-4AD9-8FCD-324D1C13B0AB}"/>
    <cellStyle name="Currency 5 2 2 2 11" xfId="4641" xr:uid="{00000000-0005-0000-0000-00006C0B0000}"/>
    <cellStyle name="Currency 5 2 2 2 11 2" xfId="13083" xr:uid="{333232F0-5A11-4A10-97B8-7B853BA4FC39}"/>
    <cellStyle name="Currency 5 2 2 2 12" xfId="8865" xr:uid="{705C2399-93AE-4E6E-BC4C-507A3FD6C9E4}"/>
    <cellStyle name="Currency 5 2 2 2 2" xfId="197" xr:uid="{00000000-0005-0000-0000-00006D0B0000}"/>
    <cellStyle name="Currency 5 2 2 2 2 10" xfId="4642" xr:uid="{00000000-0005-0000-0000-00006E0B0000}"/>
    <cellStyle name="Currency 5 2 2 2 2 10 2" xfId="13084" xr:uid="{DFF3CC88-E5B2-4944-BC40-601A27D8289D}"/>
    <cellStyle name="Currency 5 2 2 2 2 11" xfId="8866" xr:uid="{DE6C5526-DC8E-45B7-B959-7C90483DF8A2}"/>
    <cellStyle name="Currency 5 2 2 2 2 2" xfId="198" xr:uid="{00000000-0005-0000-0000-00006F0B0000}"/>
    <cellStyle name="Currency 5 2 2 2 2 2 10" xfId="8867" xr:uid="{F696A1C7-E689-45AA-ABA0-52AE4556EE64}"/>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DB60DBF0-BD27-4229-808D-448336289404}"/>
    <cellStyle name="Currency 5 2 2 2 2 2 2 2 3" xfId="11426" xr:uid="{CC4B1105-40B8-416B-BE15-E58AFF00C1C4}"/>
    <cellStyle name="Currency 5 2 2 2 2 2 2 3" xfId="5057" xr:uid="{00000000-0005-0000-0000-0000730B0000}"/>
    <cellStyle name="Currency 5 2 2 2 2 2 2 3 2" xfId="13499" xr:uid="{9B72C9C8-6656-4EC7-9FE6-4A64F8CBF1BB}"/>
    <cellStyle name="Currency 5 2 2 2 2 2 2 4" xfId="9281" xr:uid="{67346538-BE5E-48B6-9EB9-1A57F289B6B3}"/>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2F895194-0729-4630-BF6F-481F4855136F}"/>
    <cellStyle name="Currency 5 2 2 2 2 2 3 2 3" xfId="11839" xr:uid="{ADB3A7E6-6FE5-493E-9E81-2F4333D30C4A}"/>
    <cellStyle name="Currency 5 2 2 2 2 2 3 3" xfId="5470" xr:uid="{00000000-0005-0000-0000-0000770B0000}"/>
    <cellStyle name="Currency 5 2 2 2 2 2 3 3 2" xfId="13912" xr:uid="{51CF16CD-9C4B-4835-B8C2-A77270BE1AB8}"/>
    <cellStyle name="Currency 5 2 2 2 2 2 3 4" xfId="9694" xr:uid="{B26AF7E8-30F8-456F-B877-8626EAC1DB63}"/>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B30305DB-FA03-4EF6-BB07-324CDC8B6623}"/>
    <cellStyle name="Currency 5 2 2 2 2 2 4 2 3" xfId="12252" xr:uid="{E199F38A-FA51-435E-A637-E7B46A0A9D31}"/>
    <cellStyle name="Currency 5 2 2 2 2 2 4 3" xfId="5883" xr:uid="{00000000-0005-0000-0000-00007B0B0000}"/>
    <cellStyle name="Currency 5 2 2 2 2 2 4 3 2" xfId="14325" xr:uid="{B6092182-5CCB-4E77-9461-7FA5943BC567}"/>
    <cellStyle name="Currency 5 2 2 2 2 2 4 4" xfId="10107" xr:uid="{45A664AA-2072-4867-8FF8-541D7F3A6CA2}"/>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A49E5A82-3934-47F3-AA28-48A8869215C0}"/>
    <cellStyle name="Currency 5 2 2 2 2 2 5 2 3" xfId="12665" xr:uid="{4F4DF2B8-7769-4811-9929-21A620ABCC54}"/>
    <cellStyle name="Currency 5 2 2 2 2 2 5 3" xfId="6296" xr:uid="{00000000-0005-0000-0000-00007F0B0000}"/>
    <cellStyle name="Currency 5 2 2 2 2 2 5 3 2" xfId="14738" xr:uid="{8ED8BF87-3FAB-4F09-8BD5-C6482D28CA66}"/>
    <cellStyle name="Currency 5 2 2 2 2 2 5 4" xfId="10520" xr:uid="{D622400D-22A0-4134-8AC7-0264EC67FA1D}"/>
    <cellStyle name="Currency 5 2 2 2 2 2 6" xfId="2424" xr:uid="{00000000-0005-0000-0000-0000800B0000}"/>
    <cellStyle name="Currency 5 2 2 2 2 2 6 2" xfId="6709" xr:uid="{00000000-0005-0000-0000-0000810B0000}"/>
    <cellStyle name="Currency 5 2 2 2 2 2 6 2 2" xfId="15151" xr:uid="{F7B9C883-3099-4BB7-B19C-7804D96A3163}"/>
    <cellStyle name="Currency 5 2 2 2 2 2 6 3" xfId="10933" xr:uid="{DCD9B9EF-060D-416E-9DC0-272788A58C79}"/>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941B624B-0D68-45CD-A61F-9C7127E595D3}"/>
    <cellStyle name="Currency 5 2 2 2 2 2 8 3" xfId="11250" xr:uid="{E263FB6F-9C6F-4597-9B87-EC269BBF2325}"/>
    <cellStyle name="Currency 5 2 2 2 2 2 9" xfId="4643" xr:uid="{00000000-0005-0000-0000-0000850B0000}"/>
    <cellStyle name="Currency 5 2 2 2 2 2 9 2" xfId="13085" xr:uid="{D4AF70F3-D661-4788-AC6F-B68B7B39631A}"/>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C5247B9D-FA77-4B1E-951D-2FBE01A04071}"/>
    <cellStyle name="Currency 5 2 2 2 2 3 2 3" xfId="11425" xr:uid="{9460F31D-184D-469E-8972-0B9AC63EE5E2}"/>
    <cellStyle name="Currency 5 2 2 2 2 3 3" xfId="5056" xr:uid="{00000000-0005-0000-0000-0000890B0000}"/>
    <cellStyle name="Currency 5 2 2 2 2 3 3 2" xfId="13498" xr:uid="{B49F16E8-F55E-43BD-9BFA-3325595BC946}"/>
    <cellStyle name="Currency 5 2 2 2 2 3 4" xfId="9280" xr:uid="{A6398953-E149-4246-BACD-EB788209900F}"/>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759017AB-CB94-4778-874E-8BE9632A77E8}"/>
    <cellStyle name="Currency 5 2 2 2 2 4 2 3" xfId="11838" xr:uid="{8BA0EDE9-DC13-4332-AD2E-9ADD4A5810C8}"/>
    <cellStyle name="Currency 5 2 2 2 2 4 3" xfId="5469" xr:uid="{00000000-0005-0000-0000-00008D0B0000}"/>
    <cellStyle name="Currency 5 2 2 2 2 4 3 2" xfId="13911" xr:uid="{F3AA068F-B315-41CC-8CA1-07290A01DCE5}"/>
    <cellStyle name="Currency 5 2 2 2 2 4 4" xfId="9693" xr:uid="{C57196BB-F406-4FBE-95F6-73EA959E1361}"/>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693AA167-0CD0-4B70-BD06-2B8D1B6C82B2}"/>
    <cellStyle name="Currency 5 2 2 2 2 5 2 3" xfId="12251" xr:uid="{9384AC3F-2899-4ADE-B59E-6D305C4CC3BE}"/>
    <cellStyle name="Currency 5 2 2 2 2 5 3" xfId="5882" xr:uid="{00000000-0005-0000-0000-0000910B0000}"/>
    <cellStyle name="Currency 5 2 2 2 2 5 3 2" xfId="14324" xr:uid="{0F8B4EEF-9EBA-48DE-A268-CA7B687C4E0F}"/>
    <cellStyle name="Currency 5 2 2 2 2 5 4" xfId="10106" xr:uid="{DC05A01C-7113-4323-A013-FC00BEA2FCD7}"/>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FC63C4DA-9177-458B-B163-CF66AF10EAFC}"/>
    <cellStyle name="Currency 5 2 2 2 2 6 2 3" xfId="12664" xr:uid="{56008CDD-FFDD-4ABF-92B5-B8377E5DDACA}"/>
    <cellStyle name="Currency 5 2 2 2 2 6 3" xfId="6295" xr:uid="{00000000-0005-0000-0000-0000950B0000}"/>
    <cellStyle name="Currency 5 2 2 2 2 6 3 2" xfId="14737" xr:uid="{E6C6C339-839A-4A89-A56E-2D869FE23D75}"/>
    <cellStyle name="Currency 5 2 2 2 2 6 4" xfId="10519" xr:uid="{D83CF8F8-0391-4CE7-973A-2B9C8A409A58}"/>
    <cellStyle name="Currency 5 2 2 2 2 7" xfId="2423" xr:uid="{00000000-0005-0000-0000-0000960B0000}"/>
    <cellStyle name="Currency 5 2 2 2 2 7 2" xfId="6708" xr:uid="{00000000-0005-0000-0000-0000970B0000}"/>
    <cellStyle name="Currency 5 2 2 2 2 7 2 2" xfId="15150" xr:uid="{218EA9C6-8C4A-4926-B2D8-84B7BD7E5CD1}"/>
    <cellStyle name="Currency 5 2 2 2 2 7 3" xfId="10932" xr:uid="{8D1FD25D-54D3-405B-8718-6EE0E2F07C4A}"/>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ADE330AE-867C-42DA-A479-9A391B3395E4}"/>
    <cellStyle name="Currency 5 2 2 2 2 9 3" xfId="11249" xr:uid="{46160813-9B35-42BB-B9A1-81191596373B}"/>
    <cellStyle name="Currency 5 2 2 2 3" xfId="199" xr:uid="{00000000-0005-0000-0000-00009B0B0000}"/>
    <cellStyle name="Currency 5 2 2 2 3 10" xfId="8868" xr:uid="{76085969-6AA4-4812-8A34-1C3113EFAE97}"/>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C82EB249-07E7-4CBA-8025-B50F1A7816C4}"/>
    <cellStyle name="Currency 5 2 2 2 3 2 2 3" xfId="11427" xr:uid="{793647F9-38A7-4774-814C-7FD9EC486188}"/>
    <cellStyle name="Currency 5 2 2 2 3 2 3" xfId="5058" xr:uid="{00000000-0005-0000-0000-00009F0B0000}"/>
    <cellStyle name="Currency 5 2 2 2 3 2 3 2" xfId="13500" xr:uid="{C8F11A47-8990-485E-A4FD-2336B11F8675}"/>
    <cellStyle name="Currency 5 2 2 2 3 2 4" xfId="9282" xr:uid="{3D460CC0-8EAD-47D9-A9B8-0D476A25BCB1}"/>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B9DE7AA3-C6C4-42EE-9922-98F3E2A1E838}"/>
    <cellStyle name="Currency 5 2 2 2 3 3 2 3" xfId="11840" xr:uid="{02C44288-B3FC-4CB2-B6AA-C9D0717091A5}"/>
    <cellStyle name="Currency 5 2 2 2 3 3 3" xfId="5471" xr:uid="{00000000-0005-0000-0000-0000A30B0000}"/>
    <cellStyle name="Currency 5 2 2 2 3 3 3 2" xfId="13913" xr:uid="{10E75679-A7B7-4897-9678-550777CC4972}"/>
    <cellStyle name="Currency 5 2 2 2 3 3 4" xfId="9695" xr:uid="{81E8C722-F0F2-4E51-BEA0-DCE0B93C7815}"/>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F029FB7D-38CD-4645-9943-62D3E0518576}"/>
    <cellStyle name="Currency 5 2 2 2 3 4 2 3" xfId="12253" xr:uid="{479C2B11-3098-4B7C-B99A-0AC3F6C1DD5A}"/>
    <cellStyle name="Currency 5 2 2 2 3 4 3" xfId="5884" xr:uid="{00000000-0005-0000-0000-0000A70B0000}"/>
    <cellStyle name="Currency 5 2 2 2 3 4 3 2" xfId="14326" xr:uid="{792D9464-3888-4F50-8F4C-437A2B71DA36}"/>
    <cellStyle name="Currency 5 2 2 2 3 4 4" xfId="10108" xr:uid="{D4165772-42F6-4EA4-B7D3-0D7F6AE349CF}"/>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CF9FF557-C023-4BF5-A27E-7B116BA3A65B}"/>
    <cellStyle name="Currency 5 2 2 2 3 5 2 3" xfId="12666" xr:uid="{07688A19-4628-419C-A9AF-B1950994459D}"/>
    <cellStyle name="Currency 5 2 2 2 3 5 3" xfId="6297" xr:uid="{00000000-0005-0000-0000-0000AB0B0000}"/>
    <cellStyle name="Currency 5 2 2 2 3 5 3 2" xfId="14739" xr:uid="{FA8A9A22-87C4-4D9E-A32B-403948D38F84}"/>
    <cellStyle name="Currency 5 2 2 2 3 5 4" xfId="10521" xr:uid="{1DF41BCD-2616-4BC2-A429-1DB13D48936F}"/>
    <cellStyle name="Currency 5 2 2 2 3 6" xfId="2425" xr:uid="{00000000-0005-0000-0000-0000AC0B0000}"/>
    <cellStyle name="Currency 5 2 2 2 3 6 2" xfId="6710" xr:uid="{00000000-0005-0000-0000-0000AD0B0000}"/>
    <cellStyle name="Currency 5 2 2 2 3 6 2 2" xfId="15152" xr:uid="{CD8EB4F0-3FB8-49FD-BC6D-570F3C99B190}"/>
    <cellStyle name="Currency 5 2 2 2 3 6 3" xfId="10934" xr:uid="{82867FAC-8967-489C-B9C6-C9CB631F1532}"/>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F708FC9E-99FE-46A1-81B2-352135027622}"/>
    <cellStyle name="Currency 5 2 2 2 3 8 3" xfId="11251" xr:uid="{2808D7CC-6370-4E8A-931E-C85182AE3EA7}"/>
    <cellStyle name="Currency 5 2 2 2 3 9" xfId="4644" xr:uid="{00000000-0005-0000-0000-0000B10B0000}"/>
    <cellStyle name="Currency 5 2 2 2 3 9 2" xfId="13086" xr:uid="{54F89B0F-70DE-466E-8A35-EE37E12A6C5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D472742B-E2D5-4ACE-A25D-F871D448DD1F}"/>
    <cellStyle name="Currency 5 2 2 2 4 2 3" xfId="11424" xr:uid="{0E27B0C1-5A9D-4BEC-94B4-6DC7153CC09A}"/>
    <cellStyle name="Currency 5 2 2 2 4 3" xfId="5055" xr:uid="{00000000-0005-0000-0000-0000B50B0000}"/>
    <cellStyle name="Currency 5 2 2 2 4 3 2" xfId="13497" xr:uid="{D463194F-0F33-4574-87DA-C32AA68FD49A}"/>
    <cellStyle name="Currency 5 2 2 2 4 4" xfId="9279" xr:uid="{6129C715-9413-44AD-8A31-7C6B7B94C95A}"/>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43899694-FAFC-4BEC-933E-B728DFFB24AB}"/>
    <cellStyle name="Currency 5 2 2 2 5 2 3" xfId="11837" xr:uid="{9604A6E2-8B95-436F-AFDF-CCB8DB5AD59D}"/>
    <cellStyle name="Currency 5 2 2 2 5 3" xfId="5468" xr:uid="{00000000-0005-0000-0000-0000B90B0000}"/>
    <cellStyle name="Currency 5 2 2 2 5 3 2" xfId="13910" xr:uid="{96A25A32-7D43-475E-B6CB-91227136CA76}"/>
    <cellStyle name="Currency 5 2 2 2 5 4" xfId="9692" xr:uid="{49BB5143-7DC4-4EE5-B610-41951109FF9A}"/>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D02BA14B-3876-473D-A110-46BE8D235C9C}"/>
    <cellStyle name="Currency 5 2 2 2 6 2 3" xfId="12250" xr:uid="{58271FD8-BCA6-4B08-8C1D-B2A9FA5EC0E1}"/>
    <cellStyle name="Currency 5 2 2 2 6 3" xfId="5881" xr:uid="{00000000-0005-0000-0000-0000BD0B0000}"/>
    <cellStyle name="Currency 5 2 2 2 6 3 2" xfId="14323" xr:uid="{8A0AFFB2-BB21-43A9-98D3-40897B553655}"/>
    <cellStyle name="Currency 5 2 2 2 6 4" xfId="10105" xr:uid="{B14FA006-7A73-4C69-B48E-D57FCA2F724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D69DEDD7-675A-4384-B128-E038D2A45464}"/>
    <cellStyle name="Currency 5 2 2 2 7 2 3" xfId="12663" xr:uid="{6785B66E-35C2-4712-9C64-04030322CC6C}"/>
    <cellStyle name="Currency 5 2 2 2 7 3" xfId="6294" xr:uid="{00000000-0005-0000-0000-0000C10B0000}"/>
    <cellStyle name="Currency 5 2 2 2 7 3 2" xfId="14736" xr:uid="{B7ADF5CA-95D6-4BE9-92B1-9300BE6A360E}"/>
    <cellStyle name="Currency 5 2 2 2 7 4" xfId="10518" xr:uid="{6DEFE82F-DC30-46E6-B005-B91CF843212C}"/>
    <cellStyle name="Currency 5 2 2 2 8" xfId="2422" xr:uid="{00000000-0005-0000-0000-0000C20B0000}"/>
    <cellStyle name="Currency 5 2 2 2 8 2" xfId="6707" xr:uid="{00000000-0005-0000-0000-0000C30B0000}"/>
    <cellStyle name="Currency 5 2 2 2 8 2 2" xfId="15149" xr:uid="{A30E240D-AD24-4CC5-849C-27DBE5AFF052}"/>
    <cellStyle name="Currency 5 2 2 2 8 3" xfId="10931" xr:uid="{03796995-B430-49B1-A9A1-4C16A4CE927B}"/>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DE0525E8-F58A-415C-BC69-71093C83C8AF}"/>
    <cellStyle name="Currency 5 2 2 3 11" xfId="8869" xr:uid="{58C9645E-D4FC-4436-AC1B-9E1757A8C573}"/>
    <cellStyle name="Currency 5 2 2 3 2" xfId="201" xr:uid="{00000000-0005-0000-0000-0000C70B0000}"/>
    <cellStyle name="Currency 5 2 2 3 2 10" xfId="8870" xr:uid="{D056C4D9-9A13-407C-BD94-24AEC504C012}"/>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0184A94B-23A9-4988-B14B-B04757F031D4}"/>
    <cellStyle name="Currency 5 2 2 3 2 2 2 3" xfId="11429" xr:uid="{358D2952-6BC8-4145-B9B6-02488952D074}"/>
    <cellStyle name="Currency 5 2 2 3 2 2 3" xfId="5060" xr:uid="{00000000-0005-0000-0000-0000CB0B0000}"/>
    <cellStyle name="Currency 5 2 2 3 2 2 3 2" xfId="13502" xr:uid="{26DF521D-2214-4524-ADF6-B571E9548C2F}"/>
    <cellStyle name="Currency 5 2 2 3 2 2 4" xfId="9284" xr:uid="{6569D605-F5A1-41F4-881E-9CCB85F597F9}"/>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FA91402F-291D-4FC0-82EC-A67D2F635FE0}"/>
    <cellStyle name="Currency 5 2 2 3 2 3 2 3" xfId="11842" xr:uid="{803B1D88-9DD5-4630-9562-E979177F703D}"/>
    <cellStyle name="Currency 5 2 2 3 2 3 3" xfId="5473" xr:uid="{00000000-0005-0000-0000-0000CF0B0000}"/>
    <cellStyle name="Currency 5 2 2 3 2 3 3 2" xfId="13915" xr:uid="{0EEBE99E-0BA0-415D-B52E-83F8BA35A874}"/>
    <cellStyle name="Currency 5 2 2 3 2 3 4" xfId="9697" xr:uid="{1CEEE2F8-43B0-4ACB-9F75-0884010BC952}"/>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6BFD8EBB-8A3A-40B7-8553-DC6760B4B61B}"/>
    <cellStyle name="Currency 5 2 2 3 2 4 2 3" xfId="12255" xr:uid="{BAFDE980-055F-4868-BA78-33B17EC69DD2}"/>
    <cellStyle name="Currency 5 2 2 3 2 4 3" xfId="5886" xr:uid="{00000000-0005-0000-0000-0000D30B0000}"/>
    <cellStyle name="Currency 5 2 2 3 2 4 3 2" xfId="14328" xr:uid="{027D6CE2-EDE5-4327-BF5C-A3BA7BD45472}"/>
    <cellStyle name="Currency 5 2 2 3 2 4 4" xfId="10110" xr:uid="{B8EC2FE1-7814-42FB-818A-6D06A244F086}"/>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0512733A-E164-4FD4-99DC-67A811F23E57}"/>
    <cellStyle name="Currency 5 2 2 3 2 5 2 3" xfId="12668" xr:uid="{AFFD00B1-97EE-4FCB-87FA-EEA534AFA44E}"/>
    <cellStyle name="Currency 5 2 2 3 2 5 3" xfId="6299" xr:uid="{00000000-0005-0000-0000-0000D70B0000}"/>
    <cellStyle name="Currency 5 2 2 3 2 5 3 2" xfId="14741" xr:uid="{63C4FC4B-44D3-47C6-83C3-A4CEA6E945F8}"/>
    <cellStyle name="Currency 5 2 2 3 2 5 4" xfId="10523" xr:uid="{943B4EC1-387B-4482-AEE0-37BFB9DA959F}"/>
    <cellStyle name="Currency 5 2 2 3 2 6" xfId="2427" xr:uid="{00000000-0005-0000-0000-0000D80B0000}"/>
    <cellStyle name="Currency 5 2 2 3 2 6 2" xfId="6712" xr:uid="{00000000-0005-0000-0000-0000D90B0000}"/>
    <cellStyle name="Currency 5 2 2 3 2 6 2 2" xfId="15154" xr:uid="{6734ABDF-0A17-49E8-A9A6-FA8C14DD8E9A}"/>
    <cellStyle name="Currency 5 2 2 3 2 6 3" xfId="10936" xr:uid="{89C0FFEA-5836-4613-A64D-9ED0110724A1}"/>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B0B99EC6-878A-4E1D-BD76-B922D2DFF3E5}"/>
    <cellStyle name="Currency 5 2 2 3 2 8 3" xfId="11253" xr:uid="{8A1A9BBA-7971-47EB-8D08-A065EBB63860}"/>
    <cellStyle name="Currency 5 2 2 3 2 9" xfId="4646" xr:uid="{00000000-0005-0000-0000-0000DD0B0000}"/>
    <cellStyle name="Currency 5 2 2 3 2 9 2" xfId="13088" xr:uid="{7FF7D9F8-3C2B-4A2B-90C5-5694FA423C3E}"/>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66C8193D-AEFC-412C-B702-C868AA117B70}"/>
    <cellStyle name="Currency 5 2 2 3 3 2 3" xfId="11428" xr:uid="{B3C172E3-032F-43D3-9C67-F5190666D9DC}"/>
    <cellStyle name="Currency 5 2 2 3 3 3" xfId="5059" xr:uid="{00000000-0005-0000-0000-0000E10B0000}"/>
    <cellStyle name="Currency 5 2 2 3 3 3 2" xfId="13501" xr:uid="{3BA48207-CFDA-40FB-B796-58358242DEDC}"/>
    <cellStyle name="Currency 5 2 2 3 3 4" xfId="9283" xr:uid="{1B58EF29-1F53-48E1-8CAD-169D5245815B}"/>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2C239655-4537-4646-A274-A356825052FB}"/>
    <cellStyle name="Currency 5 2 2 3 4 2 3" xfId="11841" xr:uid="{58981918-241A-4F66-9939-8FBB927AF9FD}"/>
    <cellStyle name="Currency 5 2 2 3 4 3" xfId="5472" xr:uid="{00000000-0005-0000-0000-0000E50B0000}"/>
    <cellStyle name="Currency 5 2 2 3 4 3 2" xfId="13914" xr:uid="{14904D68-1A35-4D53-A2DF-A08092D74EFC}"/>
    <cellStyle name="Currency 5 2 2 3 4 4" xfId="9696" xr:uid="{19EE8E5E-0534-4DBE-B25B-6A973695FA69}"/>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38BFD036-0BD0-4831-8142-A24EDF2940A9}"/>
    <cellStyle name="Currency 5 2 2 3 5 2 3" xfId="12254" xr:uid="{EC1DB7D0-9EED-4E93-8D8C-C29E4FB9F412}"/>
    <cellStyle name="Currency 5 2 2 3 5 3" xfId="5885" xr:uid="{00000000-0005-0000-0000-0000E90B0000}"/>
    <cellStyle name="Currency 5 2 2 3 5 3 2" xfId="14327" xr:uid="{57F99A21-4B5A-4C44-AC48-2DEB93085FCA}"/>
    <cellStyle name="Currency 5 2 2 3 5 4" xfId="10109" xr:uid="{CD2816E8-B210-4639-AFA4-E72BE5D02EF4}"/>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C050325B-FD65-4F8E-ADE3-6E8075885034}"/>
    <cellStyle name="Currency 5 2 2 3 6 2 3" xfId="12667" xr:uid="{9C6295BF-5D47-40FA-A2EC-0BEA69A25910}"/>
    <cellStyle name="Currency 5 2 2 3 6 3" xfId="6298" xr:uid="{00000000-0005-0000-0000-0000ED0B0000}"/>
    <cellStyle name="Currency 5 2 2 3 6 3 2" xfId="14740" xr:uid="{E339E154-5522-46DA-B719-217F613742B1}"/>
    <cellStyle name="Currency 5 2 2 3 6 4" xfId="10522" xr:uid="{81C04416-FFF5-4550-BBF6-12E124535E4D}"/>
    <cellStyle name="Currency 5 2 2 3 7" xfId="2426" xr:uid="{00000000-0005-0000-0000-0000EE0B0000}"/>
    <cellStyle name="Currency 5 2 2 3 7 2" xfId="6711" xr:uid="{00000000-0005-0000-0000-0000EF0B0000}"/>
    <cellStyle name="Currency 5 2 2 3 7 2 2" xfId="15153" xr:uid="{0D0FC1A7-D700-4617-A109-457C56467381}"/>
    <cellStyle name="Currency 5 2 2 3 7 3" xfId="10935" xr:uid="{FC3A2F50-CF83-4395-8511-86A6741C0B4C}"/>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16CFBA05-16A2-49AD-B59F-7DB4B61E8AC6}"/>
    <cellStyle name="Currency 5 2 2 3 9 3" xfId="11252" xr:uid="{0EB9E010-C528-43DA-B825-29EB14BECC4D}"/>
    <cellStyle name="Currency 5 2 2 4" xfId="202" xr:uid="{00000000-0005-0000-0000-0000F30B0000}"/>
    <cellStyle name="Currency 5 2 2 4 10" xfId="8871" xr:uid="{3D3B99B0-E7AA-4F5B-A5C9-CE1C46C8A33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1466903A-7A8A-4223-A247-8E314D25C222}"/>
    <cellStyle name="Currency 5 2 2 4 2 2 3" xfId="11430" xr:uid="{7C7592C2-0C4F-43C0-BE4A-062FB3D371B2}"/>
    <cellStyle name="Currency 5 2 2 4 2 3" xfId="5061" xr:uid="{00000000-0005-0000-0000-0000F70B0000}"/>
    <cellStyle name="Currency 5 2 2 4 2 3 2" xfId="13503" xr:uid="{E035279B-79F4-41B8-AE19-0B5FF7BEA934}"/>
    <cellStyle name="Currency 5 2 2 4 2 4" xfId="9285" xr:uid="{5A1C82E8-0F82-4C6E-8D4F-5CA496B6F46B}"/>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49438225-5DE6-42D1-B1F6-0E2C2E8BCBF1}"/>
    <cellStyle name="Currency 5 2 2 4 3 2 3" xfId="11843" xr:uid="{4CFFE028-C834-4C5A-820B-52D808CB8C7D}"/>
    <cellStyle name="Currency 5 2 2 4 3 3" xfId="5474" xr:uid="{00000000-0005-0000-0000-0000FB0B0000}"/>
    <cellStyle name="Currency 5 2 2 4 3 3 2" xfId="13916" xr:uid="{D90C1ED3-51EC-490A-84CB-EB7117BFA79B}"/>
    <cellStyle name="Currency 5 2 2 4 3 4" xfId="9698" xr:uid="{026E806D-F72F-4B64-BDF6-2E9B6F5B16C8}"/>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05E1E0C2-2924-47B6-B236-5FCB254C6995}"/>
    <cellStyle name="Currency 5 2 2 4 4 2 3" xfId="12256" xr:uid="{9DF57584-02F1-430E-894D-E2DF4C410E4F}"/>
    <cellStyle name="Currency 5 2 2 4 4 3" xfId="5887" xr:uid="{00000000-0005-0000-0000-0000FF0B0000}"/>
    <cellStyle name="Currency 5 2 2 4 4 3 2" xfId="14329" xr:uid="{8679DDA3-1E3B-4B58-9FE1-818C4D669C90}"/>
    <cellStyle name="Currency 5 2 2 4 4 4" xfId="10111" xr:uid="{D8CC7F34-0A9B-445E-ADEF-5E7ED1BA0717}"/>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752044E7-EB42-4EAB-B570-359C76579495}"/>
    <cellStyle name="Currency 5 2 2 4 5 2 3" xfId="12669" xr:uid="{53DB5FEB-5529-4845-8751-B79F405CBBC4}"/>
    <cellStyle name="Currency 5 2 2 4 5 3" xfId="6300" xr:uid="{00000000-0005-0000-0000-0000030C0000}"/>
    <cellStyle name="Currency 5 2 2 4 5 3 2" xfId="14742" xr:uid="{9A52CB0A-CDA7-40F4-A371-2FA375EC838D}"/>
    <cellStyle name="Currency 5 2 2 4 5 4" xfId="10524" xr:uid="{069E03DC-3ED4-4390-96C0-FE6D02489296}"/>
    <cellStyle name="Currency 5 2 2 4 6" xfId="2428" xr:uid="{00000000-0005-0000-0000-0000040C0000}"/>
    <cellStyle name="Currency 5 2 2 4 6 2" xfId="6713" xr:uid="{00000000-0005-0000-0000-0000050C0000}"/>
    <cellStyle name="Currency 5 2 2 4 6 2 2" xfId="15155" xr:uid="{756A0BBE-EDE3-49EB-BAFA-46C13E81DE8B}"/>
    <cellStyle name="Currency 5 2 2 4 6 3" xfId="10937" xr:uid="{1EF11E8D-6E50-4E40-AAF0-8A32A2CCF41D}"/>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9599343F-758E-48BB-B878-DF469AF2989E}"/>
    <cellStyle name="Currency 5 2 2 4 8 3" xfId="11254" xr:uid="{0CDAD141-5B0A-41A1-86CE-F691393469E0}"/>
    <cellStyle name="Currency 5 2 2 4 9" xfId="4647" xr:uid="{00000000-0005-0000-0000-0000090C0000}"/>
    <cellStyle name="Currency 5 2 2 4 9 2" xfId="13089" xr:uid="{8C0617D6-407C-4C46-AA24-F4B2686D2611}"/>
    <cellStyle name="Currency 5 2 2 5" xfId="203" xr:uid="{00000000-0005-0000-0000-00000A0C0000}"/>
    <cellStyle name="Currency 5 2 2 5 10" xfId="8872" xr:uid="{39222861-AF77-4071-B1AF-9AE553068271}"/>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7AB39B90-69B1-4521-81DC-D22D76A8B663}"/>
    <cellStyle name="Currency 5 2 2 5 2 2 3" xfId="11431" xr:uid="{AE82FC89-8D35-441F-8F71-C94BD572C0CA}"/>
    <cellStyle name="Currency 5 2 2 5 2 3" xfId="5062" xr:uid="{00000000-0005-0000-0000-00000E0C0000}"/>
    <cellStyle name="Currency 5 2 2 5 2 3 2" xfId="13504" xr:uid="{8BC2A03A-EDB7-43A2-8C85-0A8CF028B717}"/>
    <cellStyle name="Currency 5 2 2 5 2 4" xfId="9286" xr:uid="{7287A2FA-3841-4495-81D0-CE68EE537466}"/>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9BC30BFC-A50E-44BE-B1AD-667FEDC5B838}"/>
    <cellStyle name="Currency 5 2 2 5 3 2 3" xfId="11844" xr:uid="{662C373F-B22E-497F-9BBE-B9BA94C7B14C}"/>
    <cellStyle name="Currency 5 2 2 5 3 3" xfId="5475" xr:uid="{00000000-0005-0000-0000-0000120C0000}"/>
    <cellStyle name="Currency 5 2 2 5 3 3 2" xfId="13917" xr:uid="{7745438C-B2B8-4D76-B57D-8B5931F3B960}"/>
    <cellStyle name="Currency 5 2 2 5 3 4" xfId="9699" xr:uid="{7758DFB9-702A-4936-997F-84B5E0A10438}"/>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52DE10C9-F8C4-444C-9F82-17C4B2A647FA}"/>
    <cellStyle name="Currency 5 2 2 5 4 2 3" xfId="12257" xr:uid="{6E2E5DFD-1748-445E-B8DF-7C9BBAE48465}"/>
    <cellStyle name="Currency 5 2 2 5 4 3" xfId="5888" xr:uid="{00000000-0005-0000-0000-0000160C0000}"/>
    <cellStyle name="Currency 5 2 2 5 4 3 2" xfId="14330" xr:uid="{92EA5394-5879-4326-9072-39BD706A4C86}"/>
    <cellStyle name="Currency 5 2 2 5 4 4" xfId="10112" xr:uid="{6AB7224A-9CA4-4996-9829-13729D8E24F3}"/>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B53B6FCE-776C-43F2-A3CF-A9C2074A0521}"/>
    <cellStyle name="Currency 5 2 2 5 5 2 3" xfId="12670" xr:uid="{A5378B59-EA54-467E-873D-2F6C5205085B}"/>
    <cellStyle name="Currency 5 2 2 5 5 3" xfId="6301" xr:uid="{00000000-0005-0000-0000-00001A0C0000}"/>
    <cellStyle name="Currency 5 2 2 5 5 3 2" xfId="14743" xr:uid="{C94A56E9-8BCF-45AB-925F-537D3107A878}"/>
    <cellStyle name="Currency 5 2 2 5 5 4" xfId="10525" xr:uid="{A9080250-20FD-4F48-A6BB-3B95970F7494}"/>
    <cellStyle name="Currency 5 2 2 5 6" xfId="2429" xr:uid="{00000000-0005-0000-0000-00001B0C0000}"/>
    <cellStyle name="Currency 5 2 2 5 6 2" xfId="6714" xr:uid="{00000000-0005-0000-0000-00001C0C0000}"/>
    <cellStyle name="Currency 5 2 2 5 6 2 2" xfId="15156" xr:uid="{B61D1BEB-680C-4933-920A-9B5CE2AB864F}"/>
    <cellStyle name="Currency 5 2 2 5 6 3" xfId="10938" xr:uid="{3DE333A4-76B2-413C-87EF-2D9CFC1D9343}"/>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6D6C26D2-6291-45A9-9763-12BB986B3DC3}"/>
    <cellStyle name="Currency 5 2 2 5 8 3" xfId="11255" xr:uid="{FAF05069-BBAD-48FC-8B39-0DFBD5F6A296}"/>
    <cellStyle name="Currency 5 2 2 5 9" xfId="4648" xr:uid="{00000000-0005-0000-0000-0000200C0000}"/>
    <cellStyle name="Currency 5 2 2 5 9 2" xfId="13090" xr:uid="{CF23F926-E5C1-482C-9A0E-7AC186E2BE7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7A360AB7-D1B9-4D78-94B3-8EE8149A83D5}"/>
    <cellStyle name="Currency 5 2 4 11" xfId="8873" xr:uid="{B61CE45D-D310-4C8D-9512-0885D75438A5}"/>
    <cellStyle name="Currency 5 2 4 2" xfId="206" xr:uid="{00000000-0005-0000-0000-0000250C0000}"/>
    <cellStyle name="Currency 5 2 4 2 10" xfId="8874" xr:uid="{EFB0CAF2-3B28-43CE-A4E1-560C44470F3A}"/>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351378D8-5848-4339-AF9A-1BAABA58C084}"/>
    <cellStyle name="Currency 5 2 4 2 2 2 3" xfId="11433" xr:uid="{B6065B1B-AD89-4E9E-8763-123CECF9B7E2}"/>
    <cellStyle name="Currency 5 2 4 2 2 3" xfId="5064" xr:uid="{00000000-0005-0000-0000-0000290C0000}"/>
    <cellStyle name="Currency 5 2 4 2 2 3 2" xfId="13506" xr:uid="{4E4A154A-2B2A-44E7-8B80-0BA846356A86}"/>
    <cellStyle name="Currency 5 2 4 2 2 4" xfId="9288" xr:uid="{BC52535D-4387-4AE1-8C63-AEA6BF7EAA91}"/>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B929E81C-BE87-41D9-A357-2F04A937B538}"/>
    <cellStyle name="Currency 5 2 4 2 3 2 3" xfId="11846" xr:uid="{4CFA02A0-A567-4159-9047-09CBDAE40595}"/>
    <cellStyle name="Currency 5 2 4 2 3 3" xfId="5477" xr:uid="{00000000-0005-0000-0000-00002D0C0000}"/>
    <cellStyle name="Currency 5 2 4 2 3 3 2" xfId="13919" xr:uid="{60C4B1D9-2FDC-4C1A-863F-3BD12ECF9D9B}"/>
    <cellStyle name="Currency 5 2 4 2 3 4" xfId="9701" xr:uid="{B6A4DF06-F365-4B87-A32F-5DAEFE39BD06}"/>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98FE27B2-B97C-4A04-B96C-899AD26C8B9A}"/>
    <cellStyle name="Currency 5 2 4 2 4 2 3" xfId="12259" xr:uid="{DBAFCD06-10AE-4D61-B171-E918360F90E0}"/>
    <cellStyle name="Currency 5 2 4 2 4 3" xfId="5890" xr:uid="{00000000-0005-0000-0000-0000310C0000}"/>
    <cellStyle name="Currency 5 2 4 2 4 3 2" xfId="14332" xr:uid="{B6C0C65D-0DAD-49A0-9332-439AC0BE387B}"/>
    <cellStyle name="Currency 5 2 4 2 4 4" xfId="10114" xr:uid="{976988C4-EFC7-4BAA-82CA-8AFFE05D699A}"/>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6572566C-7B05-4655-9C0D-FEA4257576BF}"/>
    <cellStyle name="Currency 5 2 4 2 5 2 3" xfId="12672" xr:uid="{7C612412-1162-4A52-9D14-CC20B4C18AC3}"/>
    <cellStyle name="Currency 5 2 4 2 5 3" xfId="6303" xr:uid="{00000000-0005-0000-0000-0000350C0000}"/>
    <cellStyle name="Currency 5 2 4 2 5 3 2" xfId="14745" xr:uid="{0DA686B0-DA47-4EAD-982C-7F9305F9F1AC}"/>
    <cellStyle name="Currency 5 2 4 2 5 4" xfId="10527" xr:uid="{53A27F21-F9A0-4D01-9AFA-4CDB9F0F9033}"/>
    <cellStyle name="Currency 5 2 4 2 6" xfId="2431" xr:uid="{00000000-0005-0000-0000-0000360C0000}"/>
    <cellStyle name="Currency 5 2 4 2 6 2" xfId="6716" xr:uid="{00000000-0005-0000-0000-0000370C0000}"/>
    <cellStyle name="Currency 5 2 4 2 6 2 2" xfId="15158" xr:uid="{87604AB7-7052-4401-A0F1-4A6372E44ECE}"/>
    <cellStyle name="Currency 5 2 4 2 6 3" xfId="10940" xr:uid="{0ED25316-605C-4ECD-A037-8488EF3B33AC}"/>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CC1C4F19-BB5B-4912-84E8-FC4105A77185}"/>
    <cellStyle name="Currency 5 2 4 2 8 3" xfId="11257" xr:uid="{2E12C160-AC32-4CF0-BF3C-92D10302716D}"/>
    <cellStyle name="Currency 5 2 4 2 9" xfId="4650" xr:uid="{00000000-0005-0000-0000-00003B0C0000}"/>
    <cellStyle name="Currency 5 2 4 2 9 2" xfId="13092" xr:uid="{DB3FB6A7-8355-4DE5-AC37-4FE27C3CCC8A}"/>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38493C66-47FA-4E48-8E8C-3F75FAC9639A}"/>
    <cellStyle name="Currency 5 2 4 3 2 3" xfId="11432" xr:uid="{8BD7E82A-2DEE-4066-8ECC-EA82DBCC58BE}"/>
    <cellStyle name="Currency 5 2 4 3 3" xfId="5063" xr:uid="{00000000-0005-0000-0000-00003F0C0000}"/>
    <cellStyle name="Currency 5 2 4 3 3 2" xfId="13505" xr:uid="{534D0532-3C6A-4B47-94A7-2A32D4E7F185}"/>
    <cellStyle name="Currency 5 2 4 3 4" xfId="9287" xr:uid="{42DC3F83-0398-46F4-8E64-F78B18E57E5E}"/>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92E4A1B8-5991-4786-802B-AC9AFF8D649F}"/>
    <cellStyle name="Currency 5 2 4 4 2 3" xfId="11845" xr:uid="{963185AE-0469-451F-9C7B-AC9097B3CEC1}"/>
    <cellStyle name="Currency 5 2 4 4 3" xfId="5476" xr:uid="{00000000-0005-0000-0000-0000430C0000}"/>
    <cellStyle name="Currency 5 2 4 4 3 2" xfId="13918" xr:uid="{726BA9FB-E7BE-423D-B341-41B8969A0F38}"/>
    <cellStyle name="Currency 5 2 4 4 4" xfId="9700" xr:uid="{A2D44D75-D1A8-43AC-9536-EBABE7A2A4D7}"/>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39B587BA-284C-48CC-A971-72D1BB000E7E}"/>
    <cellStyle name="Currency 5 2 4 5 2 3" xfId="12258" xr:uid="{1707A2FC-EFD2-42E7-A181-8B35247ABD2A}"/>
    <cellStyle name="Currency 5 2 4 5 3" xfId="5889" xr:uid="{00000000-0005-0000-0000-0000470C0000}"/>
    <cellStyle name="Currency 5 2 4 5 3 2" xfId="14331" xr:uid="{9CEA5747-AB9A-4503-8921-3AA98C0FFCC6}"/>
    <cellStyle name="Currency 5 2 4 5 4" xfId="10113" xr:uid="{7599B332-4582-411F-AB52-0F40E5729979}"/>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33A84008-C3C6-44F9-95DF-0CF6109F5267}"/>
    <cellStyle name="Currency 5 2 4 6 2 3" xfId="12671" xr:uid="{49783F50-21CB-4FF6-9369-D94F6609401E}"/>
    <cellStyle name="Currency 5 2 4 6 3" xfId="6302" xr:uid="{00000000-0005-0000-0000-00004B0C0000}"/>
    <cellStyle name="Currency 5 2 4 6 3 2" xfId="14744" xr:uid="{B8B973B4-D110-4E19-908A-A6880CD99550}"/>
    <cellStyle name="Currency 5 2 4 6 4" xfId="10526" xr:uid="{5D28CACE-3005-4EAA-9D7E-15858C8B3018}"/>
    <cellStyle name="Currency 5 2 4 7" xfId="2430" xr:uid="{00000000-0005-0000-0000-00004C0C0000}"/>
    <cellStyle name="Currency 5 2 4 7 2" xfId="6715" xr:uid="{00000000-0005-0000-0000-00004D0C0000}"/>
    <cellStyle name="Currency 5 2 4 7 2 2" xfId="15157" xr:uid="{4EAB6097-5F8A-40E7-80FA-E73173FE40FB}"/>
    <cellStyle name="Currency 5 2 4 7 3" xfId="10939" xr:uid="{FAE77C1D-7217-4FB7-9FA1-8541AC97859F}"/>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AD951A6D-41CC-4E90-B2B2-EB8DE669D999}"/>
    <cellStyle name="Currency 5 2 4 9 3" xfId="11256" xr:uid="{6A1D684C-F3AB-4F51-9376-0DBF9310C662}"/>
    <cellStyle name="Currency 5 2 5" xfId="207" xr:uid="{00000000-0005-0000-0000-0000510C0000}"/>
    <cellStyle name="Currency 5 2 5 10" xfId="8875" xr:uid="{5CFC1EBE-60AD-4A3F-B598-EB7414DDC02A}"/>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CA14DE33-DAAD-4640-9ECE-7773184FB725}"/>
    <cellStyle name="Currency 5 2 5 2 2 3" xfId="11434" xr:uid="{ECF9CF75-478C-427A-9EA6-DC359F8EAA6B}"/>
    <cellStyle name="Currency 5 2 5 2 3" xfId="5065" xr:uid="{00000000-0005-0000-0000-0000550C0000}"/>
    <cellStyle name="Currency 5 2 5 2 3 2" xfId="13507" xr:uid="{C06A6FD9-6AB8-4D31-BD7A-75875D920EBC}"/>
    <cellStyle name="Currency 5 2 5 2 4" xfId="9289" xr:uid="{00C8FB9A-8AD3-47CA-A8F5-07E4F267283F}"/>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7533BBD0-B736-4B09-A500-8BADE2D2A02C}"/>
    <cellStyle name="Currency 5 2 5 3 2 3" xfId="11847" xr:uid="{7BD5F5DA-7BA0-409D-8F1F-1434D55ADC22}"/>
    <cellStyle name="Currency 5 2 5 3 3" xfId="5478" xr:uid="{00000000-0005-0000-0000-0000590C0000}"/>
    <cellStyle name="Currency 5 2 5 3 3 2" xfId="13920" xr:uid="{C3D3FA1B-3DB3-4C7B-9DAB-D07AC2994098}"/>
    <cellStyle name="Currency 5 2 5 3 4" xfId="9702" xr:uid="{D9EC24D0-00D4-4300-8918-7751B2EA9AE1}"/>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E5047333-508B-4AD4-994E-674AAEB8142F}"/>
    <cellStyle name="Currency 5 2 5 4 2 3" xfId="12260" xr:uid="{87A3F7DE-C16D-4669-997B-C181E14932D4}"/>
    <cellStyle name="Currency 5 2 5 4 3" xfId="5891" xr:uid="{00000000-0005-0000-0000-00005D0C0000}"/>
    <cellStyle name="Currency 5 2 5 4 3 2" xfId="14333" xr:uid="{BDBB128D-7D86-484D-B898-D16B2D91BEB7}"/>
    <cellStyle name="Currency 5 2 5 4 4" xfId="10115" xr:uid="{B96FFB9C-B7FC-4A59-AA68-365D96CDF912}"/>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6463D4E4-326A-41F7-B3D4-94BA0FB89155}"/>
    <cellStyle name="Currency 5 2 5 5 2 3" xfId="12673" xr:uid="{FEEA202C-D04D-4C58-A3CF-915DDA08F1F7}"/>
    <cellStyle name="Currency 5 2 5 5 3" xfId="6304" xr:uid="{00000000-0005-0000-0000-0000610C0000}"/>
    <cellStyle name="Currency 5 2 5 5 3 2" xfId="14746" xr:uid="{4DDD6359-F358-45E9-832D-2864AD86C7C4}"/>
    <cellStyle name="Currency 5 2 5 5 4" xfId="10528" xr:uid="{4BD0F22F-40EA-44BA-9E21-83F3A3BAE344}"/>
    <cellStyle name="Currency 5 2 5 6" xfId="2432" xr:uid="{00000000-0005-0000-0000-0000620C0000}"/>
    <cellStyle name="Currency 5 2 5 6 2" xfId="6717" xr:uid="{00000000-0005-0000-0000-0000630C0000}"/>
    <cellStyle name="Currency 5 2 5 6 2 2" xfId="15159" xr:uid="{56EDF782-EBB3-44B8-837E-29CE1B9DF721}"/>
    <cellStyle name="Currency 5 2 5 6 3" xfId="10941" xr:uid="{63F0F11A-CCD0-4A9B-B83A-4D5424A3106B}"/>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010B4179-DF9B-4049-BD25-C505D61B95E4}"/>
    <cellStyle name="Currency 5 2 5 8 3" xfId="11258" xr:uid="{17388B3B-2B00-4A6A-8DF1-A81A534EF4A7}"/>
    <cellStyle name="Currency 5 2 5 9" xfId="4651" xr:uid="{00000000-0005-0000-0000-0000670C0000}"/>
    <cellStyle name="Currency 5 2 5 9 2" xfId="13093" xr:uid="{F9523D7C-B7A8-4E87-B303-D56BA5D0B524}"/>
    <cellStyle name="Currency 5 2 6" xfId="208" xr:uid="{00000000-0005-0000-0000-0000680C0000}"/>
    <cellStyle name="Currency 5 2 6 10" xfId="8876" xr:uid="{BF7D9BFD-4546-4E57-BB3E-AE4DCB02D4F7}"/>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3ED038BE-B343-4859-8BB1-4795281A3287}"/>
    <cellStyle name="Currency 5 2 6 2 2 3" xfId="11435" xr:uid="{0109C18D-B769-48BB-B48A-5DD41ACF2160}"/>
    <cellStyle name="Currency 5 2 6 2 3" xfId="5066" xr:uid="{00000000-0005-0000-0000-00006C0C0000}"/>
    <cellStyle name="Currency 5 2 6 2 3 2" xfId="13508" xr:uid="{CE4FB480-5496-425B-85B9-6FEECEA65A3C}"/>
    <cellStyle name="Currency 5 2 6 2 4" xfId="9290" xr:uid="{4C24E5B3-8A0D-400D-8693-5E226AEE0CFE}"/>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507DFAF5-B168-4F45-A963-89269D85FDA6}"/>
    <cellStyle name="Currency 5 2 6 3 2 3" xfId="11848" xr:uid="{919E78E2-3198-483D-B093-FF0457CA0429}"/>
    <cellStyle name="Currency 5 2 6 3 3" xfId="5479" xr:uid="{00000000-0005-0000-0000-0000700C0000}"/>
    <cellStyle name="Currency 5 2 6 3 3 2" xfId="13921" xr:uid="{724777E8-92D9-4540-B2BE-0632BB222978}"/>
    <cellStyle name="Currency 5 2 6 3 4" xfId="9703" xr:uid="{72E13890-C74F-4C6A-A3C3-8C294B3B0B88}"/>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6E207AA8-8A66-4B3B-83CF-16A69535D691}"/>
    <cellStyle name="Currency 5 2 6 4 2 3" xfId="12261" xr:uid="{F87FC2CA-4BBE-4C59-96BA-96405E7D26BA}"/>
    <cellStyle name="Currency 5 2 6 4 3" xfId="5892" xr:uid="{00000000-0005-0000-0000-0000740C0000}"/>
    <cellStyle name="Currency 5 2 6 4 3 2" xfId="14334" xr:uid="{402F56C4-56F4-4953-B2D2-A02F338A3B76}"/>
    <cellStyle name="Currency 5 2 6 4 4" xfId="10116" xr:uid="{5CCF91E4-D5A3-421E-9BAA-4E6B926491A2}"/>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9C829B0D-2836-4B7B-92B4-1391E06F38A5}"/>
    <cellStyle name="Currency 5 2 6 5 2 3" xfId="12674" xr:uid="{6995D0CC-A4E3-4583-B871-E4DCE4C5D640}"/>
    <cellStyle name="Currency 5 2 6 5 3" xfId="6305" xr:uid="{00000000-0005-0000-0000-0000780C0000}"/>
    <cellStyle name="Currency 5 2 6 5 3 2" xfId="14747" xr:uid="{86CFBD05-5FF5-4F5F-B462-C428CE0ADF5E}"/>
    <cellStyle name="Currency 5 2 6 5 4" xfId="10529" xr:uid="{291596E7-9EAD-4E02-A3FD-D1D61AFEDE18}"/>
    <cellStyle name="Currency 5 2 6 6" xfId="2433" xr:uid="{00000000-0005-0000-0000-0000790C0000}"/>
    <cellStyle name="Currency 5 2 6 6 2" xfId="6718" xr:uid="{00000000-0005-0000-0000-00007A0C0000}"/>
    <cellStyle name="Currency 5 2 6 6 2 2" xfId="15160" xr:uid="{8E735416-C6EE-4EA6-9D27-141D7781BDAF}"/>
    <cellStyle name="Currency 5 2 6 6 3" xfId="10942" xr:uid="{02337936-0B70-4348-ACC7-A556E79EDEA4}"/>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B57154A0-43C3-4489-BA0D-88B3D6F86A9A}"/>
    <cellStyle name="Currency 5 2 6 8 3" xfId="11259" xr:uid="{CED17FA8-C931-49EB-AC20-9D36DE7CEE67}"/>
    <cellStyle name="Currency 5 2 6 9" xfId="4652" xr:uid="{00000000-0005-0000-0000-00007E0C0000}"/>
    <cellStyle name="Currency 5 2 6 9 2" xfId="13094" xr:uid="{E7697B62-E344-4675-94A2-8D5295771BEB}"/>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AA4891FE-90CA-49F6-94FB-AC310D86B63A}"/>
    <cellStyle name="Currency 5 3 2 10 3" xfId="11260" xr:uid="{73C11CFD-7710-48FC-A836-A1582E71622D}"/>
    <cellStyle name="Currency 5 3 2 11" xfId="4653" xr:uid="{00000000-0005-0000-0000-0000840C0000}"/>
    <cellStyle name="Currency 5 3 2 11 2" xfId="13095" xr:uid="{772E3AEC-0C1D-48D5-8FCD-28E57D863823}"/>
    <cellStyle name="Currency 5 3 2 12" xfId="8877" xr:uid="{45CCF3DF-F12C-44E5-8377-C7AAEC77CD87}"/>
    <cellStyle name="Currency 5 3 2 2" xfId="211" xr:uid="{00000000-0005-0000-0000-0000850C0000}"/>
    <cellStyle name="Currency 5 3 2 2 10" xfId="4654" xr:uid="{00000000-0005-0000-0000-0000860C0000}"/>
    <cellStyle name="Currency 5 3 2 2 10 2" xfId="13096" xr:uid="{FFF4091D-E4D6-4519-8E6F-AC078DE83822}"/>
    <cellStyle name="Currency 5 3 2 2 11" xfId="8878" xr:uid="{05A7D80A-5FE8-4FC3-8494-04F189C26573}"/>
    <cellStyle name="Currency 5 3 2 2 2" xfId="212" xr:uid="{00000000-0005-0000-0000-0000870C0000}"/>
    <cellStyle name="Currency 5 3 2 2 2 10" xfId="8879" xr:uid="{19BD84BE-C21B-4703-B2D0-5CEBC2D5F8F6}"/>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6229E391-311D-428C-B298-60B405543FEA}"/>
    <cellStyle name="Currency 5 3 2 2 2 2 2 3" xfId="11438" xr:uid="{7B04B289-84A9-4B85-8F19-124581720E78}"/>
    <cellStyle name="Currency 5 3 2 2 2 2 3" xfId="5069" xr:uid="{00000000-0005-0000-0000-00008B0C0000}"/>
    <cellStyle name="Currency 5 3 2 2 2 2 3 2" xfId="13511" xr:uid="{3C191B6F-5B69-4BBC-8A6F-4E37799B3472}"/>
    <cellStyle name="Currency 5 3 2 2 2 2 4" xfId="9293" xr:uid="{240E2107-2B6C-4701-A62C-4F6705F0CCAE}"/>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6D085ED5-E85E-4FF4-9DB1-9BBEEEB4D8C8}"/>
    <cellStyle name="Currency 5 3 2 2 2 3 2 3" xfId="11851" xr:uid="{7866FD25-D3DC-41BB-9043-1E8D9239C029}"/>
    <cellStyle name="Currency 5 3 2 2 2 3 3" xfId="5482" xr:uid="{00000000-0005-0000-0000-00008F0C0000}"/>
    <cellStyle name="Currency 5 3 2 2 2 3 3 2" xfId="13924" xr:uid="{D2952C88-D3D9-4510-9751-CB5EF2209950}"/>
    <cellStyle name="Currency 5 3 2 2 2 3 4" xfId="9706" xr:uid="{2F1853A0-4740-41AB-A9B3-C29DA847954B}"/>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F2B116F3-6873-4E2D-85B6-CEE7DF29105F}"/>
    <cellStyle name="Currency 5 3 2 2 2 4 2 3" xfId="12264" xr:uid="{899D6E66-5AAE-4F29-B900-1CB9DAF54BFE}"/>
    <cellStyle name="Currency 5 3 2 2 2 4 3" xfId="5895" xr:uid="{00000000-0005-0000-0000-0000930C0000}"/>
    <cellStyle name="Currency 5 3 2 2 2 4 3 2" xfId="14337" xr:uid="{133BC679-3235-442B-9179-53C85012BE7E}"/>
    <cellStyle name="Currency 5 3 2 2 2 4 4" xfId="10119" xr:uid="{E229BB18-5DBB-41DD-81C3-B1EDE88E1C54}"/>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6B250E14-5091-4566-89BB-F32B98E68585}"/>
    <cellStyle name="Currency 5 3 2 2 2 5 2 3" xfId="12677" xr:uid="{7812F80E-BEAF-4973-9A43-FE453648FFD9}"/>
    <cellStyle name="Currency 5 3 2 2 2 5 3" xfId="6308" xr:uid="{00000000-0005-0000-0000-0000970C0000}"/>
    <cellStyle name="Currency 5 3 2 2 2 5 3 2" xfId="14750" xr:uid="{7CFB6E91-657B-48ED-853F-4D9028310238}"/>
    <cellStyle name="Currency 5 3 2 2 2 5 4" xfId="10532" xr:uid="{FE188014-1513-4A69-B049-FE90F10CED07}"/>
    <cellStyle name="Currency 5 3 2 2 2 6" xfId="2436" xr:uid="{00000000-0005-0000-0000-0000980C0000}"/>
    <cellStyle name="Currency 5 3 2 2 2 6 2" xfId="6721" xr:uid="{00000000-0005-0000-0000-0000990C0000}"/>
    <cellStyle name="Currency 5 3 2 2 2 6 2 2" xfId="15163" xr:uid="{6A84E5E1-97D7-47A9-B4DA-4F08BE6FA438}"/>
    <cellStyle name="Currency 5 3 2 2 2 6 3" xfId="10945" xr:uid="{539736B1-9863-4CBB-BD7D-FB536D19D78D}"/>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A25C913C-048A-483C-9E7D-C3E04209F79B}"/>
    <cellStyle name="Currency 5 3 2 2 2 8 3" xfId="11262" xr:uid="{CAE47364-F00C-42E5-BDA1-5B4E0A17263A}"/>
    <cellStyle name="Currency 5 3 2 2 2 9" xfId="4655" xr:uid="{00000000-0005-0000-0000-00009D0C0000}"/>
    <cellStyle name="Currency 5 3 2 2 2 9 2" xfId="13097" xr:uid="{AEA0CE64-78AF-4A5B-9584-A0BE13281281}"/>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24FEFF9B-021A-4015-AB62-96F1AA37DDDF}"/>
    <cellStyle name="Currency 5 3 2 2 3 2 3" xfId="11437" xr:uid="{E674A570-DDB4-4883-87AA-E8009D144C2E}"/>
    <cellStyle name="Currency 5 3 2 2 3 3" xfId="5068" xr:uid="{00000000-0005-0000-0000-0000A10C0000}"/>
    <cellStyle name="Currency 5 3 2 2 3 3 2" xfId="13510" xr:uid="{7D755A40-9DD5-4AD5-B77E-3F505D8D693F}"/>
    <cellStyle name="Currency 5 3 2 2 3 4" xfId="9292" xr:uid="{2F77B9AB-C92C-47B3-8AA9-BDBE668CA3C3}"/>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6FCBED72-A014-42B0-8C7A-EAABE595D52E}"/>
    <cellStyle name="Currency 5 3 2 2 4 2 3" xfId="11850" xr:uid="{506A181D-B2B4-4D66-8622-A764495F28F0}"/>
    <cellStyle name="Currency 5 3 2 2 4 3" xfId="5481" xr:uid="{00000000-0005-0000-0000-0000A50C0000}"/>
    <cellStyle name="Currency 5 3 2 2 4 3 2" xfId="13923" xr:uid="{87DF417D-5D2C-4EE6-8C37-174090621EC7}"/>
    <cellStyle name="Currency 5 3 2 2 4 4" xfId="9705" xr:uid="{662604F2-3AEE-4346-8960-FCED6DC05A74}"/>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BD19D108-01ED-4803-9C2A-36EEAC8D399F}"/>
    <cellStyle name="Currency 5 3 2 2 5 2 3" xfId="12263" xr:uid="{8F0B5C3F-C42B-440D-A625-E57469D13506}"/>
    <cellStyle name="Currency 5 3 2 2 5 3" xfId="5894" xr:uid="{00000000-0005-0000-0000-0000A90C0000}"/>
    <cellStyle name="Currency 5 3 2 2 5 3 2" xfId="14336" xr:uid="{558D2BF5-270C-4F69-AEBE-4CFBFB75DCEC}"/>
    <cellStyle name="Currency 5 3 2 2 5 4" xfId="10118" xr:uid="{588C3912-05DE-4A74-B441-28DCA01C0478}"/>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0F5D6590-079A-490E-9A51-6B6F75407F41}"/>
    <cellStyle name="Currency 5 3 2 2 6 2 3" xfId="12676" xr:uid="{2524B0EC-25F2-47DC-80F4-FCA0C0B2F3EF}"/>
    <cellStyle name="Currency 5 3 2 2 6 3" xfId="6307" xr:uid="{00000000-0005-0000-0000-0000AD0C0000}"/>
    <cellStyle name="Currency 5 3 2 2 6 3 2" xfId="14749" xr:uid="{9633EFB5-58C7-4B60-9A74-1736D81D501F}"/>
    <cellStyle name="Currency 5 3 2 2 6 4" xfId="10531" xr:uid="{6A03560F-5B88-4BCA-A6A7-1A2C4A22785C}"/>
    <cellStyle name="Currency 5 3 2 2 7" xfId="2435" xr:uid="{00000000-0005-0000-0000-0000AE0C0000}"/>
    <cellStyle name="Currency 5 3 2 2 7 2" xfId="6720" xr:uid="{00000000-0005-0000-0000-0000AF0C0000}"/>
    <cellStyle name="Currency 5 3 2 2 7 2 2" xfId="15162" xr:uid="{290222BE-FA07-4A73-9BB6-8B8D36DD8E99}"/>
    <cellStyle name="Currency 5 3 2 2 7 3" xfId="10944" xr:uid="{8667DC0A-5CD8-458F-B2F8-1CCA20406B53}"/>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D5ABA1BF-ECE4-4E52-9311-02665A0A5837}"/>
    <cellStyle name="Currency 5 3 2 2 9 3" xfId="11261" xr:uid="{9DC65A18-44D0-49B9-8753-80340470864E}"/>
    <cellStyle name="Currency 5 3 2 3" xfId="213" xr:uid="{00000000-0005-0000-0000-0000B30C0000}"/>
    <cellStyle name="Currency 5 3 2 3 10" xfId="8880" xr:uid="{0E81EA42-A790-4F3B-A30B-C4655191CCE1}"/>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C9D2348E-668A-4128-8AB1-C9C7B052A22D}"/>
    <cellStyle name="Currency 5 3 2 3 2 2 3" xfId="11439" xr:uid="{C5A0EE17-FAF0-42B8-9E23-A16D3CBF690A}"/>
    <cellStyle name="Currency 5 3 2 3 2 3" xfId="5070" xr:uid="{00000000-0005-0000-0000-0000B70C0000}"/>
    <cellStyle name="Currency 5 3 2 3 2 3 2" xfId="13512" xr:uid="{4138D051-D490-47C7-93F8-56D1AE0F6834}"/>
    <cellStyle name="Currency 5 3 2 3 2 4" xfId="9294" xr:uid="{8C8F45AF-FDA5-4195-BD16-B14FF406625F}"/>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5A7FFEF7-4BE4-4946-8F3E-4989066E59F6}"/>
    <cellStyle name="Currency 5 3 2 3 3 2 3" xfId="11852" xr:uid="{2AB99F0E-D5C3-44D3-91EF-DEC76DD8B166}"/>
    <cellStyle name="Currency 5 3 2 3 3 3" xfId="5483" xr:uid="{00000000-0005-0000-0000-0000BB0C0000}"/>
    <cellStyle name="Currency 5 3 2 3 3 3 2" xfId="13925" xr:uid="{0C110B65-9BE4-4166-803C-0E8E32C85337}"/>
    <cellStyle name="Currency 5 3 2 3 3 4" xfId="9707" xr:uid="{45F3D996-3CD7-4935-8173-F1E080D713A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A2447515-85BE-43CF-A0CC-990063B6D628}"/>
    <cellStyle name="Currency 5 3 2 3 4 2 3" xfId="12265" xr:uid="{AA1B81E2-1E6A-4005-B736-D21AD0C4FB49}"/>
    <cellStyle name="Currency 5 3 2 3 4 3" xfId="5896" xr:uid="{00000000-0005-0000-0000-0000BF0C0000}"/>
    <cellStyle name="Currency 5 3 2 3 4 3 2" xfId="14338" xr:uid="{93E73FA9-4052-46B7-9809-30617AF0F186}"/>
    <cellStyle name="Currency 5 3 2 3 4 4" xfId="10120" xr:uid="{4F0E1375-A0F0-46EB-9BE9-7126D5C58669}"/>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EFD71E36-BD29-4389-AEE7-816284AA4BF5}"/>
    <cellStyle name="Currency 5 3 2 3 5 2 3" xfId="12678" xr:uid="{8BA13F9B-35BF-47E1-BD6E-D708BCB14FD8}"/>
    <cellStyle name="Currency 5 3 2 3 5 3" xfId="6309" xr:uid="{00000000-0005-0000-0000-0000C30C0000}"/>
    <cellStyle name="Currency 5 3 2 3 5 3 2" xfId="14751" xr:uid="{BB867534-7665-436A-A474-CCBB5311BE45}"/>
    <cellStyle name="Currency 5 3 2 3 5 4" xfId="10533" xr:uid="{7E1BF08C-BF61-4C16-ADA1-8D13657AD7E7}"/>
    <cellStyle name="Currency 5 3 2 3 6" xfId="2437" xr:uid="{00000000-0005-0000-0000-0000C40C0000}"/>
    <cellStyle name="Currency 5 3 2 3 6 2" xfId="6722" xr:uid="{00000000-0005-0000-0000-0000C50C0000}"/>
    <cellStyle name="Currency 5 3 2 3 6 2 2" xfId="15164" xr:uid="{1A3F8FC3-F16F-4078-BA22-D69A77DF7A08}"/>
    <cellStyle name="Currency 5 3 2 3 6 3" xfId="10946" xr:uid="{3871328D-407E-4B06-9D74-317B13D72A95}"/>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C38544E3-24FF-4137-AAFE-EF31741C31FA}"/>
    <cellStyle name="Currency 5 3 2 3 8 3" xfId="11263" xr:uid="{CAA9C217-0308-4903-9FEB-9E8A9F44BBD0}"/>
    <cellStyle name="Currency 5 3 2 3 9" xfId="4656" xr:uid="{00000000-0005-0000-0000-0000C90C0000}"/>
    <cellStyle name="Currency 5 3 2 3 9 2" xfId="13098" xr:uid="{9CBBDD35-520F-422E-8980-8FF563A7B2E3}"/>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C3751350-0D85-4D83-80FB-11888F7C4A06}"/>
    <cellStyle name="Currency 5 3 2 4 2 3" xfId="11436" xr:uid="{AD0C40A6-1CCE-4E4C-9013-BC3440D5D740}"/>
    <cellStyle name="Currency 5 3 2 4 3" xfId="5067" xr:uid="{00000000-0005-0000-0000-0000CD0C0000}"/>
    <cellStyle name="Currency 5 3 2 4 3 2" xfId="13509" xr:uid="{278FF6C7-D9DE-4CA7-B9A5-49E650B1A6EC}"/>
    <cellStyle name="Currency 5 3 2 4 4" xfId="9291" xr:uid="{B7041825-5FE8-4735-AA12-2A34CBFD4D16}"/>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D27A919F-ED2B-4A28-8B20-9AB9FA2995D9}"/>
    <cellStyle name="Currency 5 3 2 5 2 3" xfId="11849" xr:uid="{0AAE1436-7CFF-451B-8452-DCD0F5945096}"/>
    <cellStyle name="Currency 5 3 2 5 3" xfId="5480" xr:uid="{00000000-0005-0000-0000-0000D10C0000}"/>
    <cellStyle name="Currency 5 3 2 5 3 2" xfId="13922" xr:uid="{0AB34602-9836-4D0A-B780-8F6DAC4C2BEB}"/>
    <cellStyle name="Currency 5 3 2 5 4" xfId="9704" xr:uid="{78FF2B34-9C24-4C62-B9BC-210BDA8DFF9D}"/>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5DBA0E33-B9B3-47CF-AD28-1AD50E4C4C48}"/>
    <cellStyle name="Currency 5 3 2 6 2 3" xfId="12262" xr:uid="{48DE0FF0-A6FA-4966-8A44-6B1FE984B32A}"/>
    <cellStyle name="Currency 5 3 2 6 3" xfId="5893" xr:uid="{00000000-0005-0000-0000-0000D50C0000}"/>
    <cellStyle name="Currency 5 3 2 6 3 2" xfId="14335" xr:uid="{89FF037C-0680-4B53-B7B6-9B8CD9D3D2C9}"/>
    <cellStyle name="Currency 5 3 2 6 4" xfId="10117" xr:uid="{B4EE67FA-0956-447E-BFD3-7052FA574CDE}"/>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F54CDBF5-EF01-4763-BABE-291A28D001D6}"/>
    <cellStyle name="Currency 5 3 2 7 2 3" xfId="12675" xr:uid="{3B8A707C-F3B0-47E5-8EF9-A5EB30E6D3F5}"/>
    <cellStyle name="Currency 5 3 2 7 3" xfId="6306" xr:uid="{00000000-0005-0000-0000-0000D90C0000}"/>
    <cellStyle name="Currency 5 3 2 7 3 2" xfId="14748" xr:uid="{C26EF1EB-E95E-42EA-B4DD-0E75858C57D7}"/>
    <cellStyle name="Currency 5 3 2 7 4" xfId="10530" xr:uid="{A19AF8F9-CE62-45C6-8A00-060C67767B83}"/>
    <cellStyle name="Currency 5 3 2 8" xfId="2434" xr:uid="{00000000-0005-0000-0000-0000DA0C0000}"/>
    <cellStyle name="Currency 5 3 2 8 2" xfId="6719" xr:uid="{00000000-0005-0000-0000-0000DB0C0000}"/>
    <cellStyle name="Currency 5 3 2 8 2 2" xfId="15161" xr:uid="{673B25B2-DC40-48B6-90C1-3BB63F5D703B}"/>
    <cellStyle name="Currency 5 3 2 8 3" xfId="10943" xr:uid="{044F5D33-335D-4C8B-BC7E-60DECD2F3296}"/>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864AA060-4954-45EC-8A99-47940E42E678}"/>
    <cellStyle name="Currency 5 3 3 11" xfId="8881" xr:uid="{1E24453C-A01A-4F81-B5CA-94A090577B68}"/>
    <cellStyle name="Currency 5 3 3 2" xfId="215" xr:uid="{00000000-0005-0000-0000-0000DF0C0000}"/>
    <cellStyle name="Currency 5 3 3 2 10" xfId="8882" xr:uid="{75169ECA-470D-421B-A359-2888442F4896}"/>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1A0755C2-3FCE-4098-AF7C-A732C18A1E62}"/>
    <cellStyle name="Currency 5 3 3 2 2 2 3" xfId="11441" xr:uid="{DB3A0855-F0C7-4EB5-8ACE-2BED39B403E6}"/>
    <cellStyle name="Currency 5 3 3 2 2 3" xfId="5072" xr:uid="{00000000-0005-0000-0000-0000E30C0000}"/>
    <cellStyle name="Currency 5 3 3 2 2 3 2" xfId="13514" xr:uid="{759267C3-2080-4C76-83C6-D839C8C08CB5}"/>
    <cellStyle name="Currency 5 3 3 2 2 4" xfId="9296" xr:uid="{B512CC08-31D2-4A6F-AF16-20EFE5F444FB}"/>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D08A9F0B-5618-4357-9226-E273C0C00DD1}"/>
    <cellStyle name="Currency 5 3 3 2 3 2 3" xfId="11854" xr:uid="{24B2E8B8-E93A-43B5-86D7-10B480B05D81}"/>
    <cellStyle name="Currency 5 3 3 2 3 3" xfId="5485" xr:uid="{00000000-0005-0000-0000-0000E70C0000}"/>
    <cellStyle name="Currency 5 3 3 2 3 3 2" xfId="13927" xr:uid="{4A0C711E-7297-421B-B11B-27F05F237A8F}"/>
    <cellStyle name="Currency 5 3 3 2 3 4" xfId="9709" xr:uid="{3DC5CFAE-33F1-4446-B043-6AEB67ED7A09}"/>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7184253B-A240-4720-8CF1-F0D8A6755C68}"/>
    <cellStyle name="Currency 5 3 3 2 4 2 3" xfId="12267" xr:uid="{298A241E-B2D7-4ECD-A382-2C9B5EE2A89A}"/>
    <cellStyle name="Currency 5 3 3 2 4 3" xfId="5898" xr:uid="{00000000-0005-0000-0000-0000EB0C0000}"/>
    <cellStyle name="Currency 5 3 3 2 4 3 2" xfId="14340" xr:uid="{F43D81FC-A355-4F57-8C9D-BB1768CC2892}"/>
    <cellStyle name="Currency 5 3 3 2 4 4" xfId="10122" xr:uid="{9A2453EB-7584-437F-98E3-3F4626FF6B5C}"/>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85F8BA90-CD65-4F9A-B9C2-05E19FEAFA16}"/>
    <cellStyle name="Currency 5 3 3 2 5 2 3" xfId="12680" xr:uid="{355A8FD6-15A5-4C3A-A9F0-50335CFAA691}"/>
    <cellStyle name="Currency 5 3 3 2 5 3" xfId="6311" xr:uid="{00000000-0005-0000-0000-0000EF0C0000}"/>
    <cellStyle name="Currency 5 3 3 2 5 3 2" xfId="14753" xr:uid="{4444067F-99EE-4B55-9EC9-80184C18E373}"/>
    <cellStyle name="Currency 5 3 3 2 5 4" xfId="10535" xr:uid="{12B82EE6-BAC0-4B7A-A840-AC027DCEC4EC}"/>
    <cellStyle name="Currency 5 3 3 2 6" xfId="2439" xr:uid="{00000000-0005-0000-0000-0000F00C0000}"/>
    <cellStyle name="Currency 5 3 3 2 6 2" xfId="6724" xr:uid="{00000000-0005-0000-0000-0000F10C0000}"/>
    <cellStyle name="Currency 5 3 3 2 6 2 2" xfId="15166" xr:uid="{1033690F-7C88-4E09-B9FB-B86F39D63502}"/>
    <cellStyle name="Currency 5 3 3 2 6 3" xfId="10948" xr:uid="{AF0F9EE1-6A83-4FF1-8911-139E506FC66C}"/>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865BE452-D3B0-4518-B21B-E4D7B7268F45}"/>
    <cellStyle name="Currency 5 3 3 2 8 3" xfId="11265" xr:uid="{1125A8EF-5900-4ED8-AE23-7FCD2D0FD6DF}"/>
    <cellStyle name="Currency 5 3 3 2 9" xfId="4658" xr:uid="{00000000-0005-0000-0000-0000F50C0000}"/>
    <cellStyle name="Currency 5 3 3 2 9 2" xfId="13100" xr:uid="{402F07CC-4C00-43C6-B084-49B1C1E38325}"/>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CCC2C8DB-9C2D-4A30-A9E7-9BFF9E5DB27E}"/>
    <cellStyle name="Currency 5 3 3 3 2 3" xfId="11440" xr:uid="{B99FA970-45E3-4922-944F-BE887B84EDF1}"/>
    <cellStyle name="Currency 5 3 3 3 3" xfId="5071" xr:uid="{00000000-0005-0000-0000-0000F90C0000}"/>
    <cellStyle name="Currency 5 3 3 3 3 2" xfId="13513" xr:uid="{4E816E1A-BC04-4E3B-8CE7-2894339D8D7F}"/>
    <cellStyle name="Currency 5 3 3 3 4" xfId="9295" xr:uid="{C7784290-C006-42BE-8445-6985D7837F3A}"/>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5AE9EAD6-AE73-423A-A939-3A2945D48EF9}"/>
    <cellStyle name="Currency 5 3 3 4 2 3" xfId="11853" xr:uid="{39597BE9-7267-4FAD-91EC-F9B09E2AC127}"/>
    <cellStyle name="Currency 5 3 3 4 3" xfId="5484" xr:uid="{00000000-0005-0000-0000-0000FD0C0000}"/>
    <cellStyle name="Currency 5 3 3 4 3 2" xfId="13926" xr:uid="{1CB660D6-BC5E-4699-8BCA-DCDE5BDAD3E7}"/>
    <cellStyle name="Currency 5 3 3 4 4" xfId="9708" xr:uid="{314280A1-A4EF-4FDC-A4D6-6BEF0B005957}"/>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70E9A2DF-B683-47E4-AA5E-29688832266F}"/>
    <cellStyle name="Currency 5 3 3 5 2 3" xfId="12266" xr:uid="{B2197675-87C3-4F05-9712-D70E9EDEBD01}"/>
    <cellStyle name="Currency 5 3 3 5 3" xfId="5897" xr:uid="{00000000-0005-0000-0000-0000010D0000}"/>
    <cellStyle name="Currency 5 3 3 5 3 2" xfId="14339" xr:uid="{19BE74CD-9CA9-4488-A2DC-87CD078C6CD4}"/>
    <cellStyle name="Currency 5 3 3 5 4" xfId="10121" xr:uid="{27C58987-3B3D-4205-A9DE-AD86797AB28E}"/>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F9D7CB77-8094-4408-AA94-A0887232372F}"/>
    <cellStyle name="Currency 5 3 3 6 2 3" xfId="12679" xr:uid="{C820882A-5BFF-4A0F-90C3-6AE24CC9BE60}"/>
    <cellStyle name="Currency 5 3 3 6 3" xfId="6310" xr:uid="{00000000-0005-0000-0000-0000050D0000}"/>
    <cellStyle name="Currency 5 3 3 6 3 2" xfId="14752" xr:uid="{AD962240-047D-4C61-9120-A6C1EEE77CB0}"/>
    <cellStyle name="Currency 5 3 3 6 4" xfId="10534" xr:uid="{083B2510-5279-4A53-8A17-F238EE4E9186}"/>
    <cellStyle name="Currency 5 3 3 7" xfId="2438" xr:uid="{00000000-0005-0000-0000-0000060D0000}"/>
    <cellStyle name="Currency 5 3 3 7 2" xfId="6723" xr:uid="{00000000-0005-0000-0000-0000070D0000}"/>
    <cellStyle name="Currency 5 3 3 7 2 2" xfId="15165" xr:uid="{9FCCA7AB-E3D1-4622-966A-2EBDA5B886BF}"/>
    <cellStyle name="Currency 5 3 3 7 3" xfId="10947" xr:uid="{88E7EC34-8EFB-49DA-84CE-789A8FE4A0B0}"/>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0E8D343C-D854-4D9F-AD2A-C8FF2C51D989}"/>
    <cellStyle name="Currency 5 3 3 9 3" xfId="11264" xr:uid="{7CDE35CF-ABE1-49BE-B2DB-4DCC4597253C}"/>
    <cellStyle name="Currency 5 3 4" xfId="216" xr:uid="{00000000-0005-0000-0000-00000B0D0000}"/>
    <cellStyle name="Currency 5 3 4 10" xfId="8883" xr:uid="{622F34FD-B09E-4B42-8757-36FE734384F7}"/>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5A672400-EA9A-4015-A469-C0F16047C817}"/>
    <cellStyle name="Currency 5 3 4 2 2 3" xfId="11442" xr:uid="{D3F4E224-71AF-4736-9F89-64CB877C3931}"/>
    <cellStyle name="Currency 5 3 4 2 3" xfId="5073" xr:uid="{00000000-0005-0000-0000-00000F0D0000}"/>
    <cellStyle name="Currency 5 3 4 2 3 2" xfId="13515" xr:uid="{85B229E1-752C-4EE6-BAA7-6D0AD7EFFE54}"/>
    <cellStyle name="Currency 5 3 4 2 4" xfId="9297" xr:uid="{134C321D-4579-469B-923D-886F6AE27333}"/>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D0D6FAF0-CAD5-4A81-9039-6E20B06E8C85}"/>
    <cellStyle name="Currency 5 3 4 3 2 3" xfId="11855" xr:uid="{19E409C3-4C8A-453A-BD11-7B0C1A8CC082}"/>
    <cellStyle name="Currency 5 3 4 3 3" xfId="5486" xr:uid="{00000000-0005-0000-0000-0000130D0000}"/>
    <cellStyle name="Currency 5 3 4 3 3 2" xfId="13928" xr:uid="{58C94849-45DB-4410-9B7E-3104EB049E97}"/>
    <cellStyle name="Currency 5 3 4 3 4" xfId="9710" xr:uid="{E4A94278-ADCA-4475-B72E-1F06D2C029EB}"/>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23054B60-C9F6-4A1D-8BFD-40C2491F6BC5}"/>
    <cellStyle name="Currency 5 3 4 4 2 3" xfId="12268" xr:uid="{26FED775-829A-4397-B199-E2627A19A348}"/>
    <cellStyle name="Currency 5 3 4 4 3" xfId="5899" xr:uid="{00000000-0005-0000-0000-0000170D0000}"/>
    <cellStyle name="Currency 5 3 4 4 3 2" xfId="14341" xr:uid="{24D7481A-EA66-494A-8360-77A7FC20145A}"/>
    <cellStyle name="Currency 5 3 4 4 4" xfId="10123" xr:uid="{49A4C4B6-763C-4130-89DD-B23D579B21F8}"/>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C1E76776-2504-46CB-B533-65B5B543708B}"/>
    <cellStyle name="Currency 5 3 4 5 2 3" xfId="12681" xr:uid="{389D87D9-2F3E-4F86-B8E6-4971E28F8995}"/>
    <cellStyle name="Currency 5 3 4 5 3" xfId="6312" xr:uid="{00000000-0005-0000-0000-00001B0D0000}"/>
    <cellStyle name="Currency 5 3 4 5 3 2" xfId="14754" xr:uid="{92A928B6-5A63-44C6-ADE7-2D297AF79DC6}"/>
    <cellStyle name="Currency 5 3 4 5 4" xfId="10536" xr:uid="{37FE9C40-CDD4-4564-A052-327924621EC1}"/>
    <cellStyle name="Currency 5 3 4 6" xfId="2440" xr:uid="{00000000-0005-0000-0000-00001C0D0000}"/>
    <cellStyle name="Currency 5 3 4 6 2" xfId="6725" xr:uid="{00000000-0005-0000-0000-00001D0D0000}"/>
    <cellStyle name="Currency 5 3 4 6 2 2" xfId="15167" xr:uid="{33233D93-7821-4FF9-AA00-8DF88BEE5685}"/>
    <cellStyle name="Currency 5 3 4 6 3" xfId="10949" xr:uid="{748CAC6E-D103-4BE9-9FDA-FCFA79572E0B}"/>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2A692321-F6BF-4850-A515-08C11C399AB9}"/>
    <cellStyle name="Currency 5 3 4 8 3" xfId="11266" xr:uid="{78684BCC-63E3-4CDA-A931-33F85A62CB6D}"/>
    <cellStyle name="Currency 5 3 4 9" xfId="4659" xr:uid="{00000000-0005-0000-0000-0000210D0000}"/>
    <cellStyle name="Currency 5 3 4 9 2" xfId="13101" xr:uid="{E777605F-DFAD-423B-830F-5E70E5413E33}"/>
    <cellStyle name="Currency 5 3 5" xfId="217" xr:uid="{00000000-0005-0000-0000-0000220D0000}"/>
    <cellStyle name="Currency 5 3 5 10" xfId="8884" xr:uid="{8465D17F-06B2-430A-866D-0D8B0E05C7F9}"/>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BB7583C2-710B-4B77-B9AB-8507191AAC1F}"/>
    <cellStyle name="Currency 5 3 5 2 2 3" xfId="11443" xr:uid="{58038B9B-7A69-4FF0-AE76-EF303CA8411A}"/>
    <cellStyle name="Currency 5 3 5 2 3" xfId="5074" xr:uid="{00000000-0005-0000-0000-0000260D0000}"/>
    <cellStyle name="Currency 5 3 5 2 3 2" xfId="13516" xr:uid="{746A0777-5A24-478B-A435-09E822E41446}"/>
    <cellStyle name="Currency 5 3 5 2 4" xfId="9298" xr:uid="{59326B57-14F8-40B6-965B-A2CB30348750}"/>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D98F33CA-3E7C-4C0B-8C42-7614CAB23FBD}"/>
    <cellStyle name="Currency 5 3 5 3 2 3" xfId="11856" xr:uid="{6247FACA-B7D5-4D10-83DA-2B6858C4BA21}"/>
    <cellStyle name="Currency 5 3 5 3 3" xfId="5487" xr:uid="{00000000-0005-0000-0000-00002A0D0000}"/>
    <cellStyle name="Currency 5 3 5 3 3 2" xfId="13929" xr:uid="{C679164B-02D1-4B89-9C7C-9B5F938C74DC}"/>
    <cellStyle name="Currency 5 3 5 3 4" xfId="9711" xr:uid="{FCEA9CCC-22D3-44A9-83B0-F38C9720DC1A}"/>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63E652A3-EDED-4D35-8D2C-81A0947FFC11}"/>
    <cellStyle name="Currency 5 3 5 4 2 3" xfId="12269" xr:uid="{B4B94360-1881-4483-971B-402EB7B9FA79}"/>
    <cellStyle name="Currency 5 3 5 4 3" xfId="5900" xr:uid="{00000000-0005-0000-0000-00002E0D0000}"/>
    <cellStyle name="Currency 5 3 5 4 3 2" xfId="14342" xr:uid="{6F428BD4-3CAF-4CC2-A6D0-EA241EC1F273}"/>
    <cellStyle name="Currency 5 3 5 4 4" xfId="10124" xr:uid="{E0832323-CFDA-41EC-B163-93051ABB9BC0}"/>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F81C3C5B-75DA-4D7D-9533-ACE8DFA896C9}"/>
    <cellStyle name="Currency 5 3 5 5 2 3" xfId="12682" xr:uid="{C9ED95DB-8D18-4C81-9208-39B4728C1B70}"/>
    <cellStyle name="Currency 5 3 5 5 3" xfId="6313" xr:uid="{00000000-0005-0000-0000-0000320D0000}"/>
    <cellStyle name="Currency 5 3 5 5 3 2" xfId="14755" xr:uid="{BCBF5005-49CA-436A-A7E1-1F4CEA736F6E}"/>
    <cellStyle name="Currency 5 3 5 5 4" xfId="10537" xr:uid="{1A0C94DE-5B6B-485C-8541-6906AC4997D9}"/>
    <cellStyle name="Currency 5 3 5 6" xfId="2441" xr:uid="{00000000-0005-0000-0000-0000330D0000}"/>
    <cellStyle name="Currency 5 3 5 6 2" xfId="6726" xr:uid="{00000000-0005-0000-0000-0000340D0000}"/>
    <cellStyle name="Currency 5 3 5 6 2 2" xfId="15168" xr:uid="{1D63D239-5FEA-4246-B450-F222F10C8334}"/>
    <cellStyle name="Currency 5 3 5 6 3" xfId="10950" xr:uid="{04C57232-41DE-48A6-A55A-1A3FB3BF1AAE}"/>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EC38511E-41B0-4952-A555-FFBA5A495A3A}"/>
    <cellStyle name="Currency 5 3 5 8 3" xfId="11267" xr:uid="{60D7D1C8-2EBD-495D-8F2D-2E82E581CD01}"/>
    <cellStyle name="Currency 5 3 5 9" xfId="4660" xr:uid="{00000000-0005-0000-0000-0000380D0000}"/>
    <cellStyle name="Currency 5 3 5 9 2" xfId="13102" xr:uid="{CE22D397-0026-481A-A40E-87C94031281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F512AF07-A413-4AC8-83EC-2A4252771682}"/>
    <cellStyle name="Currency 5 5 11" xfId="8885" xr:uid="{745A8EAC-C3A9-4914-AD10-1C84DB8A0D05}"/>
    <cellStyle name="Currency 5 5 2" xfId="220" xr:uid="{00000000-0005-0000-0000-00003D0D0000}"/>
    <cellStyle name="Currency 5 5 2 10" xfId="8886" xr:uid="{74ECEA54-17DA-45E8-AC1B-DAF8E2E6AF31}"/>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51E9C190-6060-45AD-B209-C68168CACB61}"/>
    <cellStyle name="Currency 5 5 2 2 2 3" xfId="11445" xr:uid="{AE8AF8C4-325F-4E7A-8AFA-535A15FD5287}"/>
    <cellStyle name="Currency 5 5 2 2 3" xfId="5076" xr:uid="{00000000-0005-0000-0000-0000410D0000}"/>
    <cellStyle name="Currency 5 5 2 2 3 2" xfId="13518" xr:uid="{078DE98C-0597-48B2-B25D-CA74CC3FDF6C}"/>
    <cellStyle name="Currency 5 5 2 2 4" xfId="9300" xr:uid="{0CFF75AE-F024-4463-9D06-A5950EEBE117}"/>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6F87B3A4-05E1-4E38-BADA-5800A8A4A343}"/>
    <cellStyle name="Currency 5 5 2 3 2 3" xfId="11858" xr:uid="{ADFF9526-D82A-4B40-A956-5CAECA6EA556}"/>
    <cellStyle name="Currency 5 5 2 3 3" xfId="5489" xr:uid="{00000000-0005-0000-0000-0000450D0000}"/>
    <cellStyle name="Currency 5 5 2 3 3 2" xfId="13931" xr:uid="{59B0540A-C349-4391-8A59-44D71C2F4259}"/>
    <cellStyle name="Currency 5 5 2 3 4" xfId="9713" xr:uid="{97357D2F-84D5-43D7-9E99-526F344C5DE6}"/>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D98418C2-CBEE-44D0-B958-C2DEC5C08FB3}"/>
    <cellStyle name="Currency 5 5 2 4 2 3" xfId="12271" xr:uid="{8F0B9F5C-F81C-46E7-A924-CB5294DB5829}"/>
    <cellStyle name="Currency 5 5 2 4 3" xfId="5902" xr:uid="{00000000-0005-0000-0000-0000490D0000}"/>
    <cellStyle name="Currency 5 5 2 4 3 2" xfId="14344" xr:uid="{72C2A58C-8E4A-4886-8859-B32B21FF7536}"/>
    <cellStyle name="Currency 5 5 2 4 4" xfId="10126" xr:uid="{23617C5D-A275-44B3-8FBA-40A63A382C3E}"/>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66EC5039-A6CD-48C8-94F0-C9FADEADA32D}"/>
    <cellStyle name="Currency 5 5 2 5 2 3" xfId="12684" xr:uid="{C3966006-43B7-4285-B303-C7CF67353E75}"/>
    <cellStyle name="Currency 5 5 2 5 3" xfId="6315" xr:uid="{00000000-0005-0000-0000-00004D0D0000}"/>
    <cellStyle name="Currency 5 5 2 5 3 2" xfId="14757" xr:uid="{5AC34328-483C-46CA-8621-5F0B394AFADB}"/>
    <cellStyle name="Currency 5 5 2 5 4" xfId="10539" xr:uid="{F3D0D543-3312-4465-A3FD-F83B2F22F9F3}"/>
    <cellStyle name="Currency 5 5 2 6" xfId="2443" xr:uid="{00000000-0005-0000-0000-00004E0D0000}"/>
    <cellStyle name="Currency 5 5 2 6 2" xfId="6728" xr:uid="{00000000-0005-0000-0000-00004F0D0000}"/>
    <cellStyle name="Currency 5 5 2 6 2 2" xfId="15170" xr:uid="{08779ACA-3921-4DED-B137-F540E3BC91F6}"/>
    <cellStyle name="Currency 5 5 2 6 3" xfId="10952" xr:uid="{18F8D734-AEC4-42CB-A698-9D5ED41D8A66}"/>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BA27361E-1ED6-441A-8AB9-CDC77DA2B547}"/>
    <cellStyle name="Currency 5 5 2 8 3" xfId="11269" xr:uid="{BFFDC4BA-2917-4D6C-B0EF-3FAB9257C26C}"/>
    <cellStyle name="Currency 5 5 2 9" xfId="4662" xr:uid="{00000000-0005-0000-0000-0000530D0000}"/>
    <cellStyle name="Currency 5 5 2 9 2" xfId="13104" xr:uid="{7C9DAF0A-B096-4CD4-B833-7AC0340FFC58}"/>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BCD815A0-4665-42CC-A48C-9696A9862533}"/>
    <cellStyle name="Currency 5 5 3 2 3" xfId="11444" xr:uid="{C5866B6D-A127-4806-8F62-9132CA71DB91}"/>
    <cellStyle name="Currency 5 5 3 3" xfId="5075" xr:uid="{00000000-0005-0000-0000-0000570D0000}"/>
    <cellStyle name="Currency 5 5 3 3 2" xfId="13517" xr:uid="{25347938-A26E-45A0-847D-8E6A97EF97D8}"/>
    <cellStyle name="Currency 5 5 3 4" xfId="9299" xr:uid="{7F1D3ED3-B6D2-4412-B1BF-198BF0AFE245}"/>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80DDD935-5A54-4847-971E-CF7C5CF5A1A6}"/>
    <cellStyle name="Currency 5 5 4 2 3" xfId="11857" xr:uid="{47EFF653-B6EA-4F94-BC0C-190F3298F885}"/>
    <cellStyle name="Currency 5 5 4 3" xfId="5488" xr:uid="{00000000-0005-0000-0000-00005B0D0000}"/>
    <cellStyle name="Currency 5 5 4 3 2" xfId="13930" xr:uid="{97BF72F6-31C1-437A-AA03-7EA6BCC04C0B}"/>
    <cellStyle name="Currency 5 5 4 4" xfId="9712" xr:uid="{71201BAA-9E3E-44F8-9B95-770554DD3E3F}"/>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DD22A0F1-F45A-4367-B260-096BBF9F3BD2}"/>
    <cellStyle name="Currency 5 5 5 2 3" xfId="12270" xr:uid="{3B08E68D-83EA-4B65-B01B-3A9820CF7237}"/>
    <cellStyle name="Currency 5 5 5 3" xfId="5901" xr:uid="{00000000-0005-0000-0000-00005F0D0000}"/>
    <cellStyle name="Currency 5 5 5 3 2" xfId="14343" xr:uid="{1FCCC188-A7AF-4CEE-9BF7-8B48FC59C4DE}"/>
    <cellStyle name="Currency 5 5 5 4" xfId="10125" xr:uid="{0CD83D75-E5C3-4DAC-B630-F59E5DC979DF}"/>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4CF59C5B-8839-4F5F-8084-E2BA51448CBF}"/>
    <cellStyle name="Currency 5 5 6 2 3" xfId="12683" xr:uid="{87E39BB9-3F7F-4F52-823D-64DE3AA0C2AE}"/>
    <cellStyle name="Currency 5 5 6 3" xfId="6314" xr:uid="{00000000-0005-0000-0000-0000630D0000}"/>
    <cellStyle name="Currency 5 5 6 3 2" xfId="14756" xr:uid="{A1FE8342-9D64-4BE0-90D6-266450B9792E}"/>
    <cellStyle name="Currency 5 5 6 4" xfId="10538" xr:uid="{EF2711D1-B7B2-4F5E-A18F-5E4B8CB57DA8}"/>
    <cellStyle name="Currency 5 5 7" xfId="2442" xr:uid="{00000000-0005-0000-0000-0000640D0000}"/>
    <cellStyle name="Currency 5 5 7 2" xfId="6727" xr:uid="{00000000-0005-0000-0000-0000650D0000}"/>
    <cellStyle name="Currency 5 5 7 2 2" xfId="15169" xr:uid="{12293937-21C6-4E1E-85D4-C084EB852970}"/>
    <cellStyle name="Currency 5 5 7 3" xfId="10951" xr:uid="{FE04537B-F16A-4073-AE3F-5F2B507ED8E5}"/>
    <cellStyle name="Currency 5 5 8" xfId="2739" xr:uid="{00000000-0005-0000-0000-0000660D0000}"/>
    <cellStyle name="Currency 5 5 9" xfId="2820" xr:uid="{00000000-0005-0000-0000-0000670D0000}"/>
    <cellStyle name="Currency 5 5 9 2" xfId="7044" xr:uid="{00000000-0005-0000-0000-0000680D0000}"/>
    <cellStyle name="Currency 5 5 9 2 2" xfId="15486" xr:uid="{AE67B154-B594-4FCA-9BE9-7B57783538E1}"/>
    <cellStyle name="Currency 5 5 9 3" xfId="11268" xr:uid="{CB9E4957-362A-4FAB-9D6B-A335EAC841BA}"/>
    <cellStyle name="Currency 5 6" xfId="221" xr:uid="{00000000-0005-0000-0000-0000690D0000}"/>
    <cellStyle name="Currency 5 6 10" xfId="8887" xr:uid="{1BF35B54-D2BC-499D-8713-4C2CDED18227}"/>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9C654DC1-E9B9-45A2-8A4F-378A53F0D0FB}"/>
    <cellStyle name="Currency 5 6 2 2 3" xfId="11446" xr:uid="{DF8BAE55-B694-4A40-847B-63B907422BE3}"/>
    <cellStyle name="Currency 5 6 2 3" xfId="5077" xr:uid="{00000000-0005-0000-0000-00006D0D0000}"/>
    <cellStyle name="Currency 5 6 2 3 2" xfId="13519" xr:uid="{145B042A-D8DF-4894-8F0C-C903193D06E9}"/>
    <cellStyle name="Currency 5 6 2 4" xfId="9301" xr:uid="{FDEE8F16-946A-4E1A-918F-B25451EEF874}"/>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300C6E3E-BB7D-43B4-B30F-589E99B807C4}"/>
    <cellStyle name="Currency 5 6 3 2 3" xfId="11859" xr:uid="{AB36E017-A43D-427B-BA56-E56E22B091ED}"/>
    <cellStyle name="Currency 5 6 3 3" xfId="5490" xr:uid="{00000000-0005-0000-0000-0000710D0000}"/>
    <cellStyle name="Currency 5 6 3 3 2" xfId="13932" xr:uid="{AE635C43-7865-4253-B8C1-8698245D8DFC}"/>
    <cellStyle name="Currency 5 6 3 4" xfId="9714" xr:uid="{A6D6C90A-3062-47B2-8065-1C79A8F99607}"/>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08B47CE0-5679-42A4-90D0-8206DC7CB4A0}"/>
    <cellStyle name="Currency 5 6 4 2 3" xfId="12272" xr:uid="{BDD391E3-A672-4ACD-9607-6C6089DED7A0}"/>
    <cellStyle name="Currency 5 6 4 3" xfId="5903" xr:uid="{00000000-0005-0000-0000-0000750D0000}"/>
    <cellStyle name="Currency 5 6 4 3 2" xfId="14345" xr:uid="{9DD930F5-0708-4C5D-BFB3-5DCCD4F36017}"/>
    <cellStyle name="Currency 5 6 4 4" xfId="10127" xr:uid="{9D2E975A-046E-459C-BF00-9660A3B5780E}"/>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B2C8191D-6A2D-45E8-9AFB-68A30D73958D}"/>
    <cellStyle name="Currency 5 6 5 2 3" xfId="12685" xr:uid="{A2A45117-604B-49AF-AF46-383AB2111FF3}"/>
    <cellStyle name="Currency 5 6 5 3" xfId="6316" xr:uid="{00000000-0005-0000-0000-0000790D0000}"/>
    <cellStyle name="Currency 5 6 5 3 2" xfId="14758" xr:uid="{2D3BF586-B213-4048-AD17-ADF8723519F8}"/>
    <cellStyle name="Currency 5 6 5 4" xfId="10540" xr:uid="{84E9AAE2-C926-46B3-9C7C-F703406CD96D}"/>
    <cellStyle name="Currency 5 6 6" xfId="2444" xr:uid="{00000000-0005-0000-0000-00007A0D0000}"/>
    <cellStyle name="Currency 5 6 6 2" xfId="6729" xr:uid="{00000000-0005-0000-0000-00007B0D0000}"/>
    <cellStyle name="Currency 5 6 6 2 2" xfId="15171" xr:uid="{F7CA35D9-D734-412E-ADDF-AC9825D6458F}"/>
    <cellStyle name="Currency 5 6 6 3" xfId="10953" xr:uid="{D6AA763D-1B90-44D5-A0C4-A91B181BDB61}"/>
    <cellStyle name="Currency 5 6 7" xfId="2741" xr:uid="{00000000-0005-0000-0000-00007C0D0000}"/>
    <cellStyle name="Currency 5 6 8" xfId="2822" xr:uid="{00000000-0005-0000-0000-00007D0D0000}"/>
    <cellStyle name="Currency 5 6 8 2" xfId="7046" xr:uid="{00000000-0005-0000-0000-00007E0D0000}"/>
    <cellStyle name="Currency 5 6 8 2 2" xfId="15488" xr:uid="{4D9F8761-78F3-4FCC-8A0A-12705090E40A}"/>
    <cellStyle name="Currency 5 6 8 3" xfId="11270" xr:uid="{E333DD10-E52E-4D4F-A652-B8007DAD6572}"/>
    <cellStyle name="Currency 5 6 9" xfId="4663" xr:uid="{00000000-0005-0000-0000-00007F0D0000}"/>
    <cellStyle name="Currency 5 6 9 2" xfId="13105" xr:uid="{520A7D14-34D2-4E7B-93BF-4A890CA7916C}"/>
    <cellStyle name="Currency 5 7" xfId="222" xr:uid="{00000000-0005-0000-0000-0000800D0000}"/>
    <cellStyle name="Currency 5 7 10" xfId="8888" xr:uid="{CA3A0F8A-8159-45FB-9DB5-0863AD0E76C4}"/>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4BBEEA03-415E-4268-AB7B-2DDFF968FB8B}"/>
    <cellStyle name="Currency 5 7 2 2 3" xfId="11447" xr:uid="{F50E9598-BF38-439C-A145-600384055111}"/>
    <cellStyle name="Currency 5 7 2 3" xfId="5078" xr:uid="{00000000-0005-0000-0000-0000840D0000}"/>
    <cellStyle name="Currency 5 7 2 3 2" xfId="13520" xr:uid="{40BF3C14-B0DC-43A1-9183-940DD054F8E2}"/>
    <cellStyle name="Currency 5 7 2 4" xfId="9302" xr:uid="{4C5A8A02-7803-47D1-B294-69E3E5FD5E7F}"/>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D9CB6D4D-4690-436E-A0D6-851E87A15B51}"/>
    <cellStyle name="Currency 5 7 3 2 3" xfId="11860" xr:uid="{1A53AE21-0EA8-4AD1-8856-9137968C0445}"/>
    <cellStyle name="Currency 5 7 3 3" xfId="5491" xr:uid="{00000000-0005-0000-0000-0000880D0000}"/>
    <cellStyle name="Currency 5 7 3 3 2" xfId="13933" xr:uid="{70619933-AC36-4514-9EC2-8CF0E597D473}"/>
    <cellStyle name="Currency 5 7 3 4" xfId="9715" xr:uid="{535F606D-53A5-4DD5-A055-0D9A9546B863}"/>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0B0DA8A5-776C-4565-98D1-E0DC711E699E}"/>
    <cellStyle name="Currency 5 7 4 2 3" xfId="12273" xr:uid="{3C0D2F50-9F50-4166-877F-D86E8E94ACC0}"/>
    <cellStyle name="Currency 5 7 4 3" xfId="5904" xr:uid="{00000000-0005-0000-0000-00008C0D0000}"/>
    <cellStyle name="Currency 5 7 4 3 2" xfId="14346" xr:uid="{FC683ED5-FBA6-4DAA-A86C-8629D13DFC9C}"/>
    <cellStyle name="Currency 5 7 4 4" xfId="10128" xr:uid="{32566116-3904-4500-9EB0-CDF463043B6D}"/>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0356525A-5A95-4393-B606-FD27AB393130}"/>
    <cellStyle name="Currency 5 7 5 2 3" xfId="12686" xr:uid="{A4941F15-EC8D-4789-B391-CFEBAF3CF692}"/>
    <cellStyle name="Currency 5 7 5 3" xfId="6317" xr:uid="{00000000-0005-0000-0000-0000900D0000}"/>
    <cellStyle name="Currency 5 7 5 3 2" xfId="14759" xr:uid="{9E183061-30F1-4CBE-9227-DDA629AC429A}"/>
    <cellStyle name="Currency 5 7 5 4" xfId="10541" xr:uid="{F2EEEC74-C4B6-43D0-8DB0-7445E532E1C6}"/>
    <cellStyle name="Currency 5 7 6" xfId="2445" xr:uid="{00000000-0005-0000-0000-0000910D0000}"/>
    <cellStyle name="Currency 5 7 6 2" xfId="6730" xr:uid="{00000000-0005-0000-0000-0000920D0000}"/>
    <cellStyle name="Currency 5 7 6 2 2" xfId="15172" xr:uid="{DCEA19FB-72FA-45CB-A710-36CF5ACB108E}"/>
    <cellStyle name="Currency 5 7 6 3" xfId="10954" xr:uid="{1C52A745-66A6-4EA2-B6CF-8BB3E9A5C66B}"/>
    <cellStyle name="Currency 5 7 7" xfId="2742" xr:uid="{00000000-0005-0000-0000-0000930D0000}"/>
    <cellStyle name="Currency 5 7 8" xfId="2823" xr:uid="{00000000-0005-0000-0000-0000940D0000}"/>
    <cellStyle name="Currency 5 7 8 2" xfId="7047" xr:uid="{00000000-0005-0000-0000-0000950D0000}"/>
    <cellStyle name="Currency 5 7 8 2 2" xfId="15489" xr:uid="{FA8284CB-5177-49B9-8B1A-BF4EE964498F}"/>
    <cellStyle name="Currency 5 7 8 3" xfId="11271" xr:uid="{F04A6364-A6C0-4D9F-8E22-DF695D165813}"/>
    <cellStyle name="Currency 5 7 9" xfId="4664" xr:uid="{00000000-0005-0000-0000-0000960D0000}"/>
    <cellStyle name="Currency 5 7 9 2" xfId="13106" xr:uid="{8AA149AE-BBB6-4B88-9ACC-56815E0435F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4F111B03-7BD3-4879-8B1E-8D8B4CA8536B}"/>
    <cellStyle name="Normal 12 10 3" xfId="10955" xr:uid="{28BF720D-BD4F-4680-BB8F-97F9A33A9701}"/>
    <cellStyle name="Normal 12 11" xfId="4665" xr:uid="{00000000-0005-0000-0000-0000CC0D0000}"/>
    <cellStyle name="Normal 12 11 2" xfId="13107" xr:uid="{B924B469-749F-4121-85AE-632B4B5F3B30}"/>
    <cellStyle name="Normal 12 12" xfId="8889" xr:uid="{1A1EB3B4-BC7A-4CA0-AAD5-0A66758EAFAE}"/>
    <cellStyle name="Normal 12 2" xfId="260" xr:uid="{00000000-0005-0000-0000-0000CD0D0000}"/>
    <cellStyle name="Normal 12 2 10" xfId="8890" xr:uid="{DD53FD43-FE8A-4531-898B-A7234DFC33A2}"/>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2D39138F-FE28-413E-9D35-B934F79E427D}"/>
    <cellStyle name="Normal 12 2 2 2 2 2 3" xfId="11451" xr:uid="{72FEA612-1FA5-42CB-8F2E-228B9C43114E}"/>
    <cellStyle name="Normal 12 2 2 2 2 3" xfId="5082" xr:uid="{00000000-0005-0000-0000-0000D30D0000}"/>
    <cellStyle name="Normal 12 2 2 2 2 3 2" xfId="13524" xr:uid="{3C454C33-B1F3-4544-A493-1AA0D429989F}"/>
    <cellStyle name="Normal 12 2 2 2 2 4" xfId="9306" xr:uid="{1A612FD7-1AAD-4FD5-BEAC-7B8647EEBF8B}"/>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378A2954-69F8-4F33-8FFA-E398A086D529}"/>
    <cellStyle name="Normal 12 2 2 2 3 2 3" xfId="11864" xr:uid="{35745E76-40CE-4AD0-AE0B-7634B78ED6C0}"/>
    <cellStyle name="Normal 12 2 2 2 3 3" xfId="5495" xr:uid="{00000000-0005-0000-0000-0000D70D0000}"/>
    <cellStyle name="Normal 12 2 2 2 3 3 2" xfId="13937" xr:uid="{87D92DE5-B77E-4437-A9A9-26EC5FB3DD69}"/>
    <cellStyle name="Normal 12 2 2 2 3 4" xfId="9719" xr:uid="{BF427F98-ACB1-4B4A-A737-7ABC88108B5F}"/>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C9E21C59-7A98-42DB-99D0-1AC52B4767D9}"/>
    <cellStyle name="Normal 12 2 2 2 4 2 3" xfId="12277" xr:uid="{9300D9FA-90AF-4A14-BFE1-DC79CD2B21D5}"/>
    <cellStyle name="Normal 12 2 2 2 4 3" xfId="5908" xr:uid="{00000000-0005-0000-0000-0000DB0D0000}"/>
    <cellStyle name="Normal 12 2 2 2 4 3 2" xfId="14350" xr:uid="{5C81EC56-6654-4DC4-B6BF-2002653C6B6A}"/>
    <cellStyle name="Normal 12 2 2 2 4 4" xfId="10132" xr:uid="{7FC5A34B-D1F7-4613-A570-5BCAAEC0AF6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D409DEDC-EB5F-4A9C-9075-409673E43AE8}"/>
    <cellStyle name="Normal 12 2 2 2 5 2 3" xfId="12690" xr:uid="{B14EBCC9-4BEE-466A-8A5A-E51926199F97}"/>
    <cellStyle name="Normal 12 2 2 2 5 3" xfId="6321" xr:uid="{00000000-0005-0000-0000-0000DF0D0000}"/>
    <cellStyle name="Normal 12 2 2 2 5 3 2" xfId="14763" xr:uid="{D9B85BA2-12F6-4112-B611-AFA97A523BFE}"/>
    <cellStyle name="Normal 12 2 2 2 5 4" xfId="10545" xr:uid="{3A4E5A4B-166C-401D-95D7-ABE39AD1F999}"/>
    <cellStyle name="Normal 12 2 2 2 6" xfId="2450" xr:uid="{00000000-0005-0000-0000-0000E00D0000}"/>
    <cellStyle name="Normal 12 2 2 2 6 2" xfId="6734" xr:uid="{00000000-0005-0000-0000-0000E10D0000}"/>
    <cellStyle name="Normal 12 2 2 2 6 2 2" xfId="15176" xr:uid="{3F973A9C-F669-4B76-842E-111CFFFB266C}"/>
    <cellStyle name="Normal 12 2 2 2 6 3" xfId="10958" xr:uid="{926CD4C9-0B98-4AEF-826C-7D25EF86F47F}"/>
    <cellStyle name="Normal 12 2 2 2 7" xfId="4668" xr:uid="{00000000-0005-0000-0000-0000E20D0000}"/>
    <cellStyle name="Normal 12 2 2 2 7 2" xfId="13110" xr:uid="{C08F950E-581F-4AC6-A0AD-1D9E3CBB3794}"/>
    <cellStyle name="Normal 12 2 2 2 8" xfId="8892" xr:uid="{730D3665-9880-486C-B236-AF0887AC31D1}"/>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CD8B925D-842F-4EF3-96DE-3C0ADF055876}"/>
    <cellStyle name="Normal 12 2 2 3 2 3" xfId="11450" xr:uid="{05476581-77A3-461F-A69B-418B2369488E}"/>
    <cellStyle name="Normal 12 2 2 3 3" xfId="5081" xr:uid="{00000000-0005-0000-0000-0000E60D0000}"/>
    <cellStyle name="Normal 12 2 2 3 3 2" xfId="13523" xr:uid="{24A03049-9F58-490E-B773-6D36B7FDC6EC}"/>
    <cellStyle name="Normal 12 2 2 3 4" xfId="9305" xr:uid="{CAF575A2-0052-43E9-BF0D-592B54E082D9}"/>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68964184-2D6A-4AF1-9AB8-AB57F62E0B78}"/>
    <cellStyle name="Normal 12 2 2 4 2 3" xfId="11863" xr:uid="{49E3CB9F-3144-4764-98E3-5EF278E655B6}"/>
    <cellStyle name="Normal 12 2 2 4 3" xfId="5494" xr:uid="{00000000-0005-0000-0000-0000EA0D0000}"/>
    <cellStyle name="Normal 12 2 2 4 3 2" xfId="13936" xr:uid="{EC8E58DC-FB0A-40D9-875D-EBC4DEE111F8}"/>
    <cellStyle name="Normal 12 2 2 4 4" xfId="9718" xr:uid="{F6264119-5ED2-4150-944A-2A49D4801BD6}"/>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01E5D607-9B1E-4ACC-BECE-4C336FFCCCC9}"/>
    <cellStyle name="Normal 12 2 2 5 2 3" xfId="12276" xr:uid="{04A4C213-FEF6-4216-8248-D9ADDEC740AE}"/>
    <cellStyle name="Normal 12 2 2 5 3" xfId="5907" xr:uid="{00000000-0005-0000-0000-0000EE0D0000}"/>
    <cellStyle name="Normal 12 2 2 5 3 2" xfId="14349" xr:uid="{DBA23A52-830D-47BA-8504-2D33C2A6FFC6}"/>
    <cellStyle name="Normal 12 2 2 5 4" xfId="10131" xr:uid="{E4942C2F-B894-4479-82F7-095FF66EBFD0}"/>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573EA275-AC95-4C3C-A0C5-3304E4C3094E}"/>
    <cellStyle name="Normal 12 2 2 6 2 3" xfId="12689" xr:uid="{1A8EC0FB-0575-4B8C-9C70-0480ACC25CD8}"/>
    <cellStyle name="Normal 12 2 2 6 3" xfId="6320" xr:uid="{00000000-0005-0000-0000-0000F20D0000}"/>
    <cellStyle name="Normal 12 2 2 6 3 2" xfId="14762" xr:uid="{3704FBD1-470E-4099-AEEC-035E3A9F0E71}"/>
    <cellStyle name="Normal 12 2 2 6 4" xfId="10544" xr:uid="{EDE1315B-9415-4368-94B4-535C15A0C1B6}"/>
    <cellStyle name="Normal 12 2 2 7" xfId="2449" xr:uid="{00000000-0005-0000-0000-0000F30D0000}"/>
    <cellStyle name="Normal 12 2 2 7 2" xfId="6733" xr:uid="{00000000-0005-0000-0000-0000F40D0000}"/>
    <cellStyle name="Normal 12 2 2 7 2 2" xfId="15175" xr:uid="{D07E2F14-0DE7-4DF1-BD91-4C6580545D3D}"/>
    <cellStyle name="Normal 12 2 2 7 3" xfId="10957" xr:uid="{0E38B078-398E-41C8-8C7B-8458965DFCD3}"/>
    <cellStyle name="Normal 12 2 2 8" xfId="4667" xr:uid="{00000000-0005-0000-0000-0000F50D0000}"/>
    <cellStyle name="Normal 12 2 2 8 2" xfId="13109" xr:uid="{DD7E6341-6957-4E75-9450-DDBB9C3B0754}"/>
    <cellStyle name="Normal 12 2 2 9" xfId="8891" xr:uid="{A3D3D018-2CE2-4F52-831F-DF3FC6838541}"/>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168F8E27-C4B1-436F-AFF9-B17D4E157DB6}"/>
    <cellStyle name="Normal 12 2 3 2 2 3" xfId="11452" xr:uid="{5FF7D503-63F2-439C-8D83-E9CC7A379981}"/>
    <cellStyle name="Normal 12 2 3 2 3" xfId="5083" xr:uid="{00000000-0005-0000-0000-0000FA0D0000}"/>
    <cellStyle name="Normal 12 2 3 2 3 2" xfId="13525" xr:uid="{107AA289-5834-48B0-B89C-4C8989B90599}"/>
    <cellStyle name="Normal 12 2 3 2 4" xfId="9307" xr:uid="{0B95FFE6-3C0B-41E6-AE68-1658703134EC}"/>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A58F5539-189E-4446-8A00-C0B60401018A}"/>
    <cellStyle name="Normal 12 2 3 3 2 3" xfId="11865" xr:uid="{B64655A9-A5DB-462A-9433-33940EC61D1E}"/>
    <cellStyle name="Normal 12 2 3 3 3" xfId="5496" xr:uid="{00000000-0005-0000-0000-0000FE0D0000}"/>
    <cellStyle name="Normal 12 2 3 3 3 2" xfId="13938" xr:uid="{ED78666E-A591-41B6-9607-7218FAD7AE5D}"/>
    <cellStyle name="Normal 12 2 3 3 4" xfId="9720" xr:uid="{2BB51B6B-F285-4CA5-A3BB-570F054146D4}"/>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68044DBF-285D-4ED2-BBAD-C944D957B5EC}"/>
    <cellStyle name="Normal 12 2 3 4 2 3" xfId="12278" xr:uid="{CC7882FE-AFCE-4D14-B964-7BF810B77BDF}"/>
    <cellStyle name="Normal 12 2 3 4 3" xfId="5909" xr:uid="{00000000-0005-0000-0000-0000020E0000}"/>
    <cellStyle name="Normal 12 2 3 4 3 2" xfId="14351" xr:uid="{A9124808-069D-4158-BD4D-5B253C2BFA83}"/>
    <cellStyle name="Normal 12 2 3 4 4" xfId="10133" xr:uid="{E454ABB4-9D03-4E72-B1A8-31F4C2BD84D7}"/>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ED85A72F-2913-42AF-99D6-1650FF36D8A4}"/>
    <cellStyle name="Normal 12 2 3 5 2 3" xfId="12691" xr:uid="{261DE04C-E4DC-4B69-8D3D-C00904185007}"/>
    <cellStyle name="Normal 12 2 3 5 3" xfId="6322" xr:uid="{00000000-0005-0000-0000-0000060E0000}"/>
    <cellStyle name="Normal 12 2 3 5 3 2" xfId="14764" xr:uid="{4B2566F4-2FE5-4A7F-ADC6-703B69C9AAB5}"/>
    <cellStyle name="Normal 12 2 3 5 4" xfId="10546" xr:uid="{6F85DE67-08CE-4F6A-ACCF-AD435629A0D1}"/>
    <cellStyle name="Normal 12 2 3 6" xfId="2451" xr:uid="{00000000-0005-0000-0000-0000070E0000}"/>
    <cellStyle name="Normal 12 2 3 6 2" xfId="6735" xr:uid="{00000000-0005-0000-0000-0000080E0000}"/>
    <cellStyle name="Normal 12 2 3 6 2 2" xfId="15177" xr:uid="{817A488F-9F53-462C-B412-6D252B0670B9}"/>
    <cellStyle name="Normal 12 2 3 6 3" xfId="10959" xr:uid="{37836A72-E1C7-4CE5-A2E0-926A53B167CF}"/>
    <cellStyle name="Normal 12 2 3 7" xfId="4669" xr:uid="{00000000-0005-0000-0000-0000090E0000}"/>
    <cellStyle name="Normal 12 2 3 7 2" xfId="13111" xr:uid="{DD46A229-3044-44E5-A32F-4CA88577ACAA}"/>
    <cellStyle name="Normal 12 2 3 8" xfId="8893" xr:uid="{733D1B68-B063-4C81-BB8C-0AD78B4A5082}"/>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E7E5DF73-D946-43E9-9674-962FF5FDC14D}"/>
    <cellStyle name="Normal 12 2 4 2 3" xfId="11449" xr:uid="{27D9AB2F-B76C-4E8E-958A-A9AF5DC42837}"/>
    <cellStyle name="Normal 12 2 4 3" xfId="5080" xr:uid="{00000000-0005-0000-0000-00000D0E0000}"/>
    <cellStyle name="Normal 12 2 4 3 2" xfId="13522" xr:uid="{0D2E3EE8-9954-4C1C-B2AC-01C8DDD08079}"/>
    <cellStyle name="Normal 12 2 4 4" xfId="9304" xr:uid="{AE199E38-C3CD-4ECA-B152-D9BD8D91749D}"/>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1C84A64E-EC2A-4622-A5D6-65520646CB09}"/>
    <cellStyle name="Normal 12 2 5 2 3" xfId="11862" xr:uid="{B0F2231A-6C6F-4CFE-8778-96C2C5D67A2C}"/>
    <cellStyle name="Normal 12 2 5 3" xfId="5493" xr:uid="{00000000-0005-0000-0000-0000110E0000}"/>
    <cellStyle name="Normal 12 2 5 3 2" xfId="13935" xr:uid="{3A6A546B-A510-4BD5-811A-142C34041509}"/>
    <cellStyle name="Normal 12 2 5 4" xfId="9717" xr:uid="{8C1E7868-0A28-4804-975D-9300E52CE4BD}"/>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0E0D1700-3D0E-46A9-B678-172D0FC2D494}"/>
    <cellStyle name="Normal 12 2 6 2 3" xfId="12275" xr:uid="{730E9552-CF88-47B2-AFEA-088981A10BFB}"/>
    <cellStyle name="Normal 12 2 6 3" xfId="5906" xr:uid="{00000000-0005-0000-0000-0000150E0000}"/>
    <cellStyle name="Normal 12 2 6 3 2" xfId="14348" xr:uid="{F13F4172-16A5-4104-9B6E-D474FB3B5BFB}"/>
    <cellStyle name="Normal 12 2 6 4" xfId="10130" xr:uid="{D977C324-BE76-4FF1-8AEA-6509ED36802F}"/>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815B16DD-72F7-4EA7-97B5-B15FD344C2D4}"/>
    <cellStyle name="Normal 12 2 7 2 3" xfId="12688" xr:uid="{FF7CCF96-15A4-4D66-96A0-AE32D13E9BA7}"/>
    <cellStyle name="Normal 12 2 7 3" xfId="6319" xr:uid="{00000000-0005-0000-0000-0000190E0000}"/>
    <cellStyle name="Normal 12 2 7 3 2" xfId="14761" xr:uid="{93435F18-582F-4B88-A79B-18E9D1A3C65D}"/>
    <cellStyle name="Normal 12 2 7 4" xfId="10543" xr:uid="{B147E8BB-246F-44A6-9A56-1B3F6BFEA0DC}"/>
    <cellStyle name="Normal 12 2 8" xfId="2448" xr:uid="{00000000-0005-0000-0000-00001A0E0000}"/>
    <cellStyle name="Normal 12 2 8 2" xfId="6732" xr:uid="{00000000-0005-0000-0000-00001B0E0000}"/>
    <cellStyle name="Normal 12 2 8 2 2" xfId="15174" xr:uid="{1EAC0E38-FFFD-4FA6-991C-029ADF1F69EF}"/>
    <cellStyle name="Normal 12 2 8 3" xfId="10956" xr:uid="{9CCE9140-5C74-46E8-A8DA-2E07861B2A35}"/>
    <cellStyle name="Normal 12 2 9" xfId="4666" xr:uid="{00000000-0005-0000-0000-00001C0E0000}"/>
    <cellStyle name="Normal 12 2 9 2" xfId="13108" xr:uid="{1509BA9B-FB0F-4E3C-8B9E-8F4532EB4CA8}"/>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AAA72277-183D-4C61-8E43-B2DB75F98F0C}"/>
    <cellStyle name="Normal 12 3 2 2 2 3" xfId="11454" xr:uid="{19B05950-51AD-4BD7-B66B-D521B1121F3F}"/>
    <cellStyle name="Normal 12 3 2 2 3" xfId="5085" xr:uid="{00000000-0005-0000-0000-0000220E0000}"/>
    <cellStyle name="Normal 12 3 2 2 3 2" xfId="13527" xr:uid="{09CEC0C7-19A9-4804-87A4-C3BBA2024EF8}"/>
    <cellStyle name="Normal 12 3 2 2 4" xfId="9309" xr:uid="{6160AF77-D1C6-46DC-9DDA-3BEA39D4C1F7}"/>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835CB4F6-4891-4FF1-B760-55D67CF7BA6C}"/>
    <cellStyle name="Normal 12 3 2 3 2 3" xfId="11867" xr:uid="{80A98EDC-D1A7-4806-919A-FE17A28FED56}"/>
    <cellStyle name="Normal 12 3 2 3 3" xfId="5498" xr:uid="{00000000-0005-0000-0000-0000260E0000}"/>
    <cellStyle name="Normal 12 3 2 3 3 2" xfId="13940" xr:uid="{2B905046-F917-4C1C-BDEA-1E53F720B22D}"/>
    <cellStyle name="Normal 12 3 2 3 4" xfId="9722" xr:uid="{51C30E0F-9EF3-4FB3-AE5D-C1FC4679D558}"/>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276ADDEC-0A0C-49F3-B852-D64C891EC502}"/>
    <cellStyle name="Normal 12 3 2 4 2 3" xfId="12280" xr:uid="{D7893370-E6F4-4B5C-9B2E-12DB81F0F5A3}"/>
    <cellStyle name="Normal 12 3 2 4 3" xfId="5911" xr:uid="{00000000-0005-0000-0000-00002A0E0000}"/>
    <cellStyle name="Normal 12 3 2 4 3 2" xfId="14353" xr:uid="{8ACD11BB-BE4B-4CF2-83F4-D37E355116DC}"/>
    <cellStyle name="Normal 12 3 2 4 4" xfId="10135" xr:uid="{27CFC7BB-23BF-4340-A49D-62847B989565}"/>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9EEA1981-C69B-42CA-B18A-A6203355D03A}"/>
    <cellStyle name="Normal 12 3 2 5 2 3" xfId="12693" xr:uid="{547330A7-5BAE-48B9-A510-370BE28A1320}"/>
    <cellStyle name="Normal 12 3 2 5 3" xfId="6324" xr:uid="{00000000-0005-0000-0000-00002E0E0000}"/>
    <cellStyle name="Normal 12 3 2 5 3 2" xfId="14766" xr:uid="{57F739A4-485A-4B43-AEA4-0E5A12EB4050}"/>
    <cellStyle name="Normal 12 3 2 5 4" xfId="10548" xr:uid="{EEC7C288-263E-469E-8617-F5220D5BD507}"/>
    <cellStyle name="Normal 12 3 2 6" xfId="2453" xr:uid="{00000000-0005-0000-0000-00002F0E0000}"/>
    <cellStyle name="Normal 12 3 2 6 2" xfId="6737" xr:uid="{00000000-0005-0000-0000-0000300E0000}"/>
    <cellStyle name="Normal 12 3 2 6 2 2" xfId="15179" xr:uid="{E52461AD-0D79-4790-90C7-278AD113B9B7}"/>
    <cellStyle name="Normal 12 3 2 6 3" xfId="10961" xr:uid="{F3511CD4-A5CF-48ED-80F7-922AA05C27A8}"/>
    <cellStyle name="Normal 12 3 2 7" xfId="4671" xr:uid="{00000000-0005-0000-0000-0000310E0000}"/>
    <cellStyle name="Normal 12 3 2 7 2" xfId="13113" xr:uid="{398C017C-4E52-4E7D-8A57-3B9D8C2A815D}"/>
    <cellStyle name="Normal 12 3 2 8" xfId="8895" xr:uid="{CA7403F1-16C8-4D42-9637-CFAA0582ED36}"/>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A3F6EE2E-E720-4472-902D-5C7D7C647F3E}"/>
    <cellStyle name="Normal 12 3 3 2 3" xfId="11453" xr:uid="{EB5F86CB-C1B0-45F4-A020-76E3C6A156F5}"/>
    <cellStyle name="Normal 12 3 3 3" xfId="5084" xr:uid="{00000000-0005-0000-0000-0000350E0000}"/>
    <cellStyle name="Normal 12 3 3 3 2" xfId="13526" xr:uid="{2E14654D-05B9-4366-B232-498AFC3B004C}"/>
    <cellStyle name="Normal 12 3 3 4" xfId="9308" xr:uid="{2AD60626-5D7C-4892-B093-F2D62710E71C}"/>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EB93F2BF-D141-4D94-A762-1636E7C20F51}"/>
    <cellStyle name="Normal 12 3 4 2 3" xfId="11866" xr:uid="{2E7BEFDB-3061-4558-915D-024C38B7BCF3}"/>
    <cellStyle name="Normal 12 3 4 3" xfId="5497" xr:uid="{00000000-0005-0000-0000-0000390E0000}"/>
    <cellStyle name="Normal 12 3 4 3 2" xfId="13939" xr:uid="{CC8878BE-070A-4355-ABB3-6177BC10392E}"/>
    <cellStyle name="Normal 12 3 4 4" xfId="9721" xr:uid="{BC2CF9BE-9B48-4B81-9FF0-848E1D38E2A5}"/>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8BB88BBF-E4E1-45AF-B987-11B685C5651D}"/>
    <cellStyle name="Normal 12 3 5 2 3" xfId="12279" xr:uid="{2773AE38-275C-43C2-8633-C4D2209B0235}"/>
    <cellStyle name="Normal 12 3 5 3" xfId="5910" xr:uid="{00000000-0005-0000-0000-00003D0E0000}"/>
    <cellStyle name="Normal 12 3 5 3 2" xfId="14352" xr:uid="{4DB90880-2602-4945-AC60-910D4B5D2B33}"/>
    <cellStyle name="Normal 12 3 5 4" xfId="10134" xr:uid="{7F95C4A8-7B07-4BA4-983A-48D2DD4B6EB9}"/>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11828E86-E64F-4504-A064-4AF92F729E48}"/>
    <cellStyle name="Normal 12 3 6 2 3" xfId="12692" xr:uid="{3C50A181-4BD2-4399-808B-E4BC87AE4B2A}"/>
    <cellStyle name="Normal 12 3 6 3" xfId="6323" xr:uid="{00000000-0005-0000-0000-0000410E0000}"/>
    <cellStyle name="Normal 12 3 6 3 2" xfId="14765" xr:uid="{3BD3A1EC-A205-4EB6-B114-A315F3ABDA67}"/>
    <cellStyle name="Normal 12 3 6 4" xfId="10547" xr:uid="{70385DED-088B-480C-80AE-ECACB3E49511}"/>
    <cellStyle name="Normal 12 3 7" xfId="2452" xr:uid="{00000000-0005-0000-0000-0000420E0000}"/>
    <cellStyle name="Normal 12 3 7 2" xfId="6736" xr:uid="{00000000-0005-0000-0000-0000430E0000}"/>
    <cellStyle name="Normal 12 3 7 2 2" xfId="15178" xr:uid="{BF498D60-9018-47EC-A0FC-A125A40BBD10}"/>
    <cellStyle name="Normal 12 3 7 3" xfId="10960" xr:uid="{D57087BD-0117-4B14-B82F-811879CBD432}"/>
    <cellStyle name="Normal 12 3 8" xfId="4670" xr:uid="{00000000-0005-0000-0000-0000440E0000}"/>
    <cellStyle name="Normal 12 3 8 2" xfId="13112" xr:uid="{389070BF-9442-47C0-9F1B-0228EB1AD65C}"/>
    <cellStyle name="Normal 12 3 9" xfId="8894" xr:uid="{F561FAFC-F71A-4CB9-803B-A3963A3577E6}"/>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C02C8153-52C2-494F-92E6-26550AE44055}"/>
    <cellStyle name="Normal 12 4 2 2 3" xfId="11455" xr:uid="{F345546B-6A6E-4C6E-B75E-9AB867AB072E}"/>
    <cellStyle name="Normal 12 4 2 3" xfId="5086" xr:uid="{00000000-0005-0000-0000-0000490E0000}"/>
    <cellStyle name="Normal 12 4 2 3 2" xfId="13528" xr:uid="{2879C9BE-9C29-44A7-892F-783BAB735608}"/>
    <cellStyle name="Normal 12 4 2 4" xfId="9310" xr:uid="{6BE25E5E-A73E-4AF1-9601-47F37794C148}"/>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E42801CA-C73E-473A-AF81-24D34E36B2C5}"/>
    <cellStyle name="Normal 12 4 3 2 3" xfId="11868" xr:uid="{F3DC5D03-4E3E-4FE6-88A2-F44D60CC05EF}"/>
    <cellStyle name="Normal 12 4 3 3" xfId="5499" xr:uid="{00000000-0005-0000-0000-00004D0E0000}"/>
    <cellStyle name="Normal 12 4 3 3 2" xfId="13941" xr:uid="{3CED9E48-E951-461B-9FC4-C08F172A6C14}"/>
    <cellStyle name="Normal 12 4 3 4" xfId="9723" xr:uid="{6EDDE1A1-EB7E-46B0-AA03-1F68CEBBD15E}"/>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2AD2BC79-2183-4A55-9BF6-1FD0EDAD0244}"/>
    <cellStyle name="Normal 12 4 4 2 3" xfId="12281" xr:uid="{D624EA29-A28F-4C92-B3BB-A1AD671FC366}"/>
    <cellStyle name="Normal 12 4 4 3" xfId="5912" xr:uid="{00000000-0005-0000-0000-0000510E0000}"/>
    <cellStyle name="Normal 12 4 4 3 2" xfId="14354" xr:uid="{0C6A08CC-8FBA-406A-814A-41DFF5969032}"/>
    <cellStyle name="Normal 12 4 4 4" xfId="10136" xr:uid="{D6B2FD35-E07F-40CA-AB58-888BCD62BB31}"/>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6CA33F07-FE2C-47EA-80E8-F3FDA0C15CEC}"/>
    <cellStyle name="Normal 12 4 5 2 3" xfId="12694" xr:uid="{6D17C060-B83A-4DB2-88F2-F476F5DE1B88}"/>
    <cellStyle name="Normal 12 4 5 3" xfId="6325" xr:uid="{00000000-0005-0000-0000-0000550E0000}"/>
    <cellStyle name="Normal 12 4 5 3 2" xfId="14767" xr:uid="{E0B93149-3A7F-4A80-AF25-B8273CB5DE0C}"/>
    <cellStyle name="Normal 12 4 5 4" xfId="10549" xr:uid="{42067F17-E791-46F6-8BDD-73A427192902}"/>
    <cellStyle name="Normal 12 4 6" xfId="2454" xr:uid="{00000000-0005-0000-0000-0000560E0000}"/>
    <cellStyle name="Normal 12 4 6 2" xfId="6738" xr:uid="{00000000-0005-0000-0000-0000570E0000}"/>
    <cellStyle name="Normal 12 4 6 2 2" xfId="15180" xr:uid="{87AE8C60-F333-4725-97BE-7E95E63D3E0C}"/>
    <cellStyle name="Normal 12 4 6 3" xfId="10962" xr:uid="{E63890F9-C74A-48F1-98E3-BE6886A9BC12}"/>
    <cellStyle name="Normal 12 4 7" xfId="4672" xr:uid="{00000000-0005-0000-0000-0000580E0000}"/>
    <cellStyle name="Normal 12 4 7 2" xfId="13114" xr:uid="{3E773A26-42D2-46F7-810C-A199C26BE8CD}"/>
    <cellStyle name="Normal 12 4 8" xfId="8896" xr:uid="{80EE2AD5-C2C7-43D3-A23E-2ECEC3EC89CB}"/>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D46A6E78-23C1-41CF-BC2A-0F9FC3453187}"/>
    <cellStyle name="Normal 12 6 2 3" xfId="11448" xr:uid="{3DD03D8A-9DAB-4649-8B85-D9F90D6884D9}"/>
    <cellStyle name="Normal 12 6 3" xfId="5079" xr:uid="{00000000-0005-0000-0000-00005D0E0000}"/>
    <cellStyle name="Normal 12 6 3 2" xfId="13521" xr:uid="{B6A0A4C4-7F27-48B6-84A7-310DC317BB5A}"/>
    <cellStyle name="Normal 12 6 4" xfId="9303" xr:uid="{49EC3775-20EE-466D-A1DF-4A339E2996A7}"/>
    <cellStyle name="Normal 12 7" xfId="1183" xr:uid="{00000000-0005-0000-0000-00005E0E0000}"/>
    <cellStyle name="Normal 12 7 2" xfId="3414" xr:uid="{00000000-0005-0000-0000-00005F0E0000}"/>
    <cellStyle name="Normal 12 7 2 2" xfId="7637" xr:uid="{00000000-0005-0000-0000-0000600E0000}"/>
    <cellStyle name="Normal 12 7 2 2 2" xfId="16079" xr:uid="{1C57D10F-CE98-4634-83C3-AADBB3C41421}"/>
    <cellStyle name="Normal 12 7 2 3" xfId="11861" xr:uid="{41BB5C21-057F-47F6-88EA-BB3D458B731A}"/>
    <cellStyle name="Normal 12 7 3" xfId="5492" xr:uid="{00000000-0005-0000-0000-0000610E0000}"/>
    <cellStyle name="Normal 12 7 3 2" xfId="13934" xr:uid="{15029C0C-4B92-460F-B53E-E9EB8507686F}"/>
    <cellStyle name="Normal 12 7 4" xfId="9716" xr:uid="{63598EB8-3387-4992-80F1-33344CC268F8}"/>
    <cellStyle name="Normal 12 8" xfId="1597" xr:uid="{00000000-0005-0000-0000-0000620E0000}"/>
    <cellStyle name="Normal 12 8 2" xfId="3827" xr:uid="{00000000-0005-0000-0000-0000630E0000}"/>
    <cellStyle name="Normal 12 8 2 2" xfId="8050" xr:uid="{00000000-0005-0000-0000-0000640E0000}"/>
    <cellStyle name="Normal 12 8 2 2 2" xfId="16492" xr:uid="{C77EB000-372D-4F5D-BDE3-6681DACE9637}"/>
    <cellStyle name="Normal 12 8 2 3" xfId="12274" xr:uid="{9E5A8002-ADF9-4E45-8B4B-4577F926B96E}"/>
    <cellStyle name="Normal 12 8 3" xfId="5905" xr:uid="{00000000-0005-0000-0000-0000650E0000}"/>
    <cellStyle name="Normal 12 8 3 2" xfId="14347" xr:uid="{83A9D285-CB81-44E4-B171-CCCDB3C8F4B9}"/>
    <cellStyle name="Normal 12 8 4" xfId="10129" xr:uid="{9BB12E41-BB6F-41BF-A9C7-A2EC0F68582A}"/>
    <cellStyle name="Normal 12 9" xfId="2011" xr:uid="{00000000-0005-0000-0000-0000660E0000}"/>
    <cellStyle name="Normal 12 9 2" xfId="4240" xr:uid="{00000000-0005-0000-0000-0000670E0000}"/>
    <cellStyle name="Normal 12 9 2 2" xfId="8463" xr:uid="{00000000-0005-0000-0000-0000680E0000}"/>
    <cellStyle name="Normal 12 9 2 2 2" xfId="16905" xr:uid="{75527210-6EAF-44C6-96FA-AD8BC925C44C}"/>
    <cellStyle name="Normal 12 9 2 3" xfId="12687" xr:uid="{FA87D93F-1140-4C4F-BE58-86B8F5642DAF}"/>
    <cellStyle name="Normal 12 9 3" xfId="6318" xr:uid="{00000000-0005-0000-0000-0000690E0000}"/>
    <cellStyle name="Normal 12 9 3 2" xfId="14760" xr:uid="{21CDE816-DF1C-4F7B-9215-1F3AF37E536C}"/>
    <cellStyle name="Normal 12 9 4" xfId="10542" xr:uid="{0F2E1ECA-A9A5-4C1C-AB4F-39F70C2E68B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5E542B03-55D0-4B53-A34A-D2D46FFFB37E}"/>
    <cellStyle name="Normal 14 2 2 3" xfId="11456" xr:uid="{2BBA218C-369E-469D-A645-5924BE4DF715}"/>
    <cellStyle name="Normal 14 2 3" xfId="5087" xr:uid="{00000000-0005-0000-0000-0000700E0000}"/>
    <cellStyle name="Normal 14 2 3 2" xfId="13529" xr:uid="{5EBCE064-A5CC-4F7E-87AD-98EB5ED9E4A5}"/>
    <cellStyle name="Normal 14 2 4" xfId="9311" xr:uid="{DF5CAC7F-06C6-496E-9394-423668E15F49}"/>
    <cellStyle name="Normal 14 3" xfId="1191" xr:uid="{00000000-0005-0000-0000-0000710E0000}"/>
    <cellStyle name="Normal 14 3 2" xfId="3422" xr:uid="{00000000-0005-0000-0000-0000720E0000}"/>
    <cellStyle name="Normal 14 3 2 2" xfId="7645" xr:uid="{00000000-0005-0000-0000-0000730E0000}"/>
    <cellStyle name="Normal 14 3 2 2 2" xfId="16087" xr:uid="{8EA46168-5A58-4638-8C06-9CE1009A2069}"/>
    <cellStyle name="Normal 14 3 2 3" xfId="11869" xr:uid="{33DFDBAF-C182-4452-BEC7-F70EDA34E61F}"/>
    <cellStyle name="Normal 14 3 3" xfId="5500" xr:uid="{00000000-0005-0000-0000-0000740E0000}"/>
    <cellStyle name="Normal 14 3 3 2" xfId="13942" xr:uid="{B7A290D4-A09C-43AE-8629-10C7020C1A1C}"/>
    <cellStyle name="Normal 14 3 4" xfId="9724" xr:uid="{677270C8-B7AA-44A1-B5F7-49DB15DD1A8D}"/>
    <cellStyle name="Normal 14 4" xfId="1605" xr:uid="{00000000-0005-0000-0000-0000750E0000}"/>
    <cellStyle name="Normal 14 4 2" xfId="3835" xr:uid="{00000000-0005-0000-0000-0000760E0000}"/>
    <cellStyle name="Normal 14 4 2 2" xfId="8058" xr:uid="{00000000-0005-0000-0000-0000770E0000}"/>
    <cellStyle name="Normal 14 4 2 2 2" xfId="16500" xr:uid="{338E91A6-8959-47D2-8E33-BC9582757532}"/>
    <cellStyle name="Normal 14 4 2 3" xfId="12282" xr:uid="{3AED542A-D57B-48B5-BF64-13E63AD0E138}"/>
    <cellStyle name="Normal 14 4 3" xfId="5913" xr:uid="{00000000-0005-0000-0000-0000780E0000}"/>
    <cellStyle name="Normal 14 4 3 2" xfId="14355" xr:uid="{CF08F4AE-B2DE-4490-B8AC-CFF9B91D3EF3}"/>
    <cellStyle name="Normal 14 4 4" xfId="10137" xr:uid="{A61A9A9E-F188-4E1A-90D7-8356D33D5ADA}"/>
    <cellStyle name="Normal 14 5" xfId="2019" xr:uid="{00000000-0005-0000-0000-0000790E0000}"/>
    <cellStyle name="Normal 14 5 2" xfId="4248" xr:uid="{00000000-0005-0000-0000-00007A0E0000}"/>
    <cellStyle name="Normal 14 5 2 2" xfId="8471" xr:uid="{00000000-0005-0000-0000-00007B0E0000}"/>
    <cellStyle name="Normal 14 5 2 2 2" xfId="16913" xr:uid="{C667D264-9C5A-4AD4-A708-2EE1EF34314F}"/>
    <cellStyle name="Normal 14 5 2 3" xfId="12695" xr:uid="{9F05BC9E-ECA1-4803-833D-9CEA7EBD9D4C}"/>
    <cellStyle name="Normal 14 5 3" xfId="6326" xr:uid="{00000000-0005-0000-0000-00007C0E0000}"/>
    <cellStyle name="Normal 14 5 3 2" xfId="14768" xr:uid="{BE73B39A-5A7C-4D8E-A53F-D6AD2C0C04C5}"/>
    <cellStyle name="Normal 14 5 4" xfId="10550" xr:uid="{F735ED93-5A23-4043-BB77-F91C2C8E5EF6}"/>
    <cellStyle name="Normal 14 6" xfId="2455" xr:uid="{00000000-0005-0000-0000-00007D0E0000}"/>
    <cellStyle name="Normal 14 6 2" xfId="6739" xr:uid="{00000000-0005-0000-0000-00007E0E0000}"/>
    <cellStyle name="Normal 14 6 2 2" xfId="15181" xr:uid="{125C4C84-F7F6-4CDE-9AF5-FEF8BD81D912}"/>
    <cellStyle name="Normal 14 6 3" xfId="10963" xr:uid="{0C301CEB-C42D-4FEB-BCE2-A14A4B0645A3}"/>
    <cellStyle name="Normal 14 7" xfId="4673" xr:uid="{00000000-0005-0000-0000-00007F0E0000}"/>
    <cellStyle name="Normal 14 7 2" xfId="13115" xr:uid="{27ADE1BC-908D-481A-AFA7-CB63C3087AEF}"/>
    <cellStyle name="Normal 14 8" xfId="8897" xr:uid="{61C82B9A-72CC-439A-A3FE-03356128264B}"/>
    <cellStyle name="Normal 15" xfId="4496" xr:uid="{00000000-0005-0000-0000-0000800E0000}"/>
    <cellStyle name="Normal 15 2" xfId="12941" xr:uid="{7473653C-A295-4527-8027-FFC4E4FC9AEF}"/>
    <cellStyle name="Normal 16" xfId="4500" xr:uid="{00000000-0005-0000-0000-0000810E0000}"/>
    <cellStyle name="Normal 16 2" xfId="8716" xr:uid="{00000000-0005-0000-0000-0000820E0000}"/>
    <cellStyle name="Normal 16 2 2" xfId="17158" xr:uid="{88D4DB93-0F32-4DCC-B706-ADA62029A093}"/>
    <cellStyle name="Normal 16 3" xfId="8719" xr:uid="{3DE1BEEB-61FA-4094-B10F-9E0444F68763}"/>
    <cellStyle name="Normal 16 3 2" xfId="8723" xr:uid="{FE0BC069-4698-40B2-814D-8E09719245E9}"/>
    <cellStyle name="Normal 16 3 2 2" xfId="8726" xr:uid="{D3E9609F-293A-4CFC-B194-1FF2F92D621D}"/>
    <cellStyle name="Normal 16 3 3" xfId="17161" xr:uid="{DA33B284-078F-414A-9D59-795BCC36A521}"/>
    <cellStyle name="Normal 16 4" xfId="12944" xr:uid="{A226EF5A-6605-4BCD-ACFB-4789A0C5024B}"/>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82F0AE28-A4A4-4FB5-8C18-038C5015B495}"/>
    <cellStyle name="Normal 2 4 2 10 2 3" xfId="12696" xr:uid="{E5C0017B-3FB6-496A-BCAF-7A12F8F87BF7}"/>
    <cellStyle name="Normal 2 4 2 10 3" xfId="6327" xr:uid="{00000000-0005-0000-0000-0000910E0000}"/>
    <cellStyle name="Normal 2 4 2 10 3 2" xfId="14769" xr:uid="{0049B9A7-106D-447B-AB42-F7B60AB52624}"/>
    <cellStyle name="Normal 2 4 2 10 4" xfId="10551" xr:uid="{25F406E7-09CB-4282-8ADE-FE90291CA5EF}"/>
    <cellStyle name="Normal 2 4 2 11" xfId="2456" xr:uid="{00000000-0005-0000-0000-0000920E0000}"/>
    <cellStyle name="Normal 2 4 2 11 2" xfId="6740" xr:uid="{00000000-0005-0000-0000-0000930E0000}"/>
    <cellStyle name="Normal 2 4 2 11 2 2" xfId="15182" xr:uid="{D420D7F5-43D6-4338-9895-12D4EA9455DA}"/>
    <cellStyle name="Normal 2 4 2 11 3" xfId="10964" xr:uid="{DCF8CB87-FBDF-4859-AF7B-BDA835F96E03}"/>
    <cellStyle name="Normal 2 4 2 12" xfId="4674" xr:uid="{00000000-0005-0000-0000-0000940E0000}"/>
    <cellStyle name="Normal 2 4 2 12 2" xfId="13116" xr:uid="{5E89DE0E-81B4-486B-AF31-E9C5BDAB09BF}"/>
    <cellStyle name="Normal 2 4 2 13" xfId="8898" xr:uid="{089576D0-6520-4E09-9E81-BDCEF69D3B81}"/>
    <cellStyle name="Normal 2 4 2 2" xfId="280" xr:uid="{00000000-0005-0000-0000-0000950E0000}"/>
    <cellStyle name="Normal 2 4 2 3" xfId="281" xr:uid="{00000000-0005-0000-0000-0000960E0000}"/>
    <cellStyle name="Normal 2 4 2 3 10" xfId="4675" xr:uid="{00000000-0005-0000-0000-0000970E0000}"/>
    <cellStyle name="Normal 2 4 2 3 10 2" xfId="13117" xr:uid="{81EBC8A1-3975-40B8-B515-679769ADD4D3}"/>
    <cellStyle name="Normal 2 4 2 3 11" xfId="8899" xr:uid="{1B7372F0-2CD9-4EC1-A63F-B4998A7EE6E5}"/>
    <cellStyle name="Normal 2 4 2 3 2" xfId="282" xr:uid="{00000000-0005-0000-0000-0000980E0000}"/>
    <cellStyle name="Normal 2 4 2 3 2 10" xfId="8900" xr:uid="{8061F222-ADAA-4DFA-A3FD-5B0468404F0C}"/>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F7E1B1FD-400B-41DD-99A5-4813AFE613F1}"/>
    <cellStyle name="Normal 2 4 2 3 2 2 2 2 2 3" xfId="11461" xr:uid="{756C9DCE-D201-454E-A2CC-6D7BFDEA564D}"/>
    <cellStyle name="Normal 2 4 2 3 2 2 2 2 3" xfId="5092" xr:uid="{00000000-0005-0000-0000-00009E0E0000}"/>
    <cellStyle name="Normal 2 4 2 3 2 2 2 2 3 2" xfId="13534" xr:uid="{E03D1CB6-11E0-4D95-A4F0-6644B1FA8CBC}"/>
    <cellStyle name="Normal 2 4 2 3 2 2 2 2 4" xfId="9316" xr:uid="{2A6FD8F6-2DA0-4C01-A0CF-34D76462CA86}"/>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F051BCF3-8641-433C-9292-81AF275E1BB7}"/>
    <cellStyle name="Normal 2 4 2 3 2 2 2 3 2 3" xfId="11874" xr:uid="{FD432515-785F-4837-904D-CE73865B2342}"/>
    <cellStyle name="Normal 2 4 2 3 2 2 2 3 3" xfId="5505" xr:uid="{00000000-0005-0000-0000-0000A20E0000}"/>
    <cellStyle name="Normal 2 4 2 3 2 2 2 3 3 2" xfId="13947" xr:uid="{C1B686D4-549D-4DB5-9D71-B4AF8CFF791C}"/>
    <cellStyle name="Normal 2 4 2 3 2 2 2 3 4" xfId="9729" xr:uid="{FAD26A25-C103-4FFB-A26A-4A4701767164}"/>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B06C6D7A-22D4-4612-9F22-0BD92A1FBA68}"/>
    <cellStyle name="Normal 2 4 2 3 2 2 2 4 2 3" xfId="12287" xr:uid="{4F5E4471-95D6-4F54-8669-CA5471FFF774}"/>
    <cellStyle name="Normal 2 4 2 3 2 2 2 4 3" xfId="5918" xr:uid="{00000000-0005-0000-0000-0000A60E0000}"/>
    <cellStyle name="Normal 2 4 2 3 2 2 2 4 3 2" xfId="14360" xr:uid="{2728F14F-688F-4177-814B-438D3A3E36E0}"/>
    <cellStyle name="Normal 2 4 2 3 2 2 2 4 4" xfId="10142" xr:uid="{8FB44B9D-522B-44F8-A85A-51BA58210DAD}"/>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5DF4EF46-8490-4C77-9F19-9EBD4AADE2BD}"/>
    <cellStyle name="Normal 2 4 2 3 2 2 2 5 2 3" xfId="12700" xr:uid="{73C123DD-FBBD-4A3C-AB9E-1E228293512D}"/>
    <cellStyle name="Normal 2 4 2 3 2 2 2 5 3" xfId="6331" xr:uid="{00000000-0005-0000-0000-0000AA0E0000}"/>
    <cellStyle name="Normal 2 4 2 3 2 2 2 5 3 2" xfId="14773" xr:uid="{F0BBBEF8-ADE0-4B10-AB3B-BEA8266A8028}"/>
    <cellStyle name="Normal 2 4 2 3 2 2 2 5 4" xfId="10555" xr:uid="{D3FB7DE9-4C90-419F-A546-A5FA7A7F3CD9}"/>
    <cellStyle name="Normal 2 4 2 3 2 2 2 6" xfId="2460" xr:uid="{00000000-0005-0000-0000-0000AB0E0000}"/>
    <cellStyle name="Normal 2 4 2 3 2 2 2 6 2" xfId="6744" xr:uid="{00000000-0005-0000-0000-0000AC0E0000}"/>
    <cellStyle name="Normal 2 4 2 3 2 2 2 6 2 2" xfId="15186" xr:uid="{1F725ABA-458B-4C61-8ADA-54AD4723C4B2}"/>
    <cellStyle name="Normal 2 4 2 3 2 2 2 6 3" xfId="10968" xr:uid="{56A201DD-B684-4D64-B3F2-8C50970B07BF}"/>
    <cellStyle name="Normal 2 4 2 3 2 2 2 7" xfId="4678" xr:uid="{00000000-0005-0000-0000-0000AD0E0000}"/>
    <cellStyle name="Normal 2 4 2 3 2 2 2 7 2" xfId="13120" xr:uid="{FCECC471-F3BE-42A8-90F6-8CFB9FAAB9E2}"/>
    <cellStyle name="Normal 2 4 2 3 2 2 2 8" xfId="8902" xr:uid="{AB955B1D-64C2-489D-9E05-C50A1F7059E8}"/>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F300421C-E980-4D8E-A243-28BD431BF9F5}"/>
    <cellStyle name="Normal 2 4 2 3 2 2 3 2 3" xfId="11460" xr:uid="{D7038473-C64C-47DF-8634-C9E121D7267F}"/>
    <cellStyle name="Normal 2 4 2 3 2 2 3 3" xfId="5091" xr:uid="{00000000-0005-0000-0000-0000B10E0000}"/>
    <cellStyle name="Normal 2 4 2 3 2 2 3 3 2" xfId="13533" xr:uid="{19E706B9-7C2B-4C74-BD75-0BF3A28597C6}"/>
    <cellStyle name="Normal 2 4 2 3 2 2 3 4" xfId="9315" xr:uid="{BC2A5EBA-9F55-4815-9E4C-F80417979E7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476ADA79-9D21-4E95-9A8D-5E914F39703C}"/>
    <cellStyle name="Normal 2 4 2 3 2 2 4 2 3" xfId="11873" xr:uid="{354585FF-72C0-4481-9333-C242EEB9DC64}"/>
    <cellStyle name="Normal 2 4 2 3 2 2 4 3" xfId="5504" xr:uid="{00000000-0005-0000-0000-0000B50E0000}"/>
    <cellStyle name="Normal 2 4 2 3 2 2 4 3 2" xfId="13946" xr:uid="{4FAABB4C-99BF-4B8D-8E54-8D6B3A264E9C}"/>
    <cellStyle name="Normal 2 4 2 3 2 2 4 4" xfId="9728" xr:uid="{B12A9E6E-671F-4F1C-9B53-04B5DEB3C527}"/>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22D5E0E2-1871-413D-A311-116483FAA9D2}"/>
    <cellStyle name="Normal 2 4 2 3 2 2 5 2 3" xfId="12286" xr:uid="{5E2ED94E-FFAC-4572-B4E2-B3872EB6227A}"/>
    <cellStyle name="Normal 2 4 2 3 2 2 5 3" xfId="5917" xr:uid="{00000000-0005-0000-0000-0000B90E0000}"/>
    <cellStyle name="Normal 2 4 2 3 2 2 5 3 2" xfId="14359" xr:uid="{17666C79-CD5D-471F-AD2B-FA817E19A80E}"/>
    <cellStyle name="Normal 2 4 2 3 2 2 5 4" xfId="10141" xr:uid="{2D23589A-3111-4840-B7C9-B7560342F61A}"/>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D113C639-63EF-4C9A-A4B9-C0913817A2BB}"/>
    <cellStyle name="Normal 2 4 2 3 2 2 6 2 3" xfId="12699" xr:uid="{A4350FF2-B69B-44DD-9FC4-7999291B5410}"/>
    <cellStyle name="Normal 2 4 2 3 2 2 6 3" xfId="6330" xr:uid="{00000000-0005-0000-0000-0000BD0E0000}"/>
    <cellStyle name="Normal 2 4 2 3 2 2 6 3 2" xfId="14772" xr:uid="{A0DED4BD-038B-4AEA-A027-C6C20AE79653}"/>
    <cellStyle name="Normal 2 4 2 3 2 2 6 4" xfId="10554" xr:uid="{6E9BC17A-7BC6-434B-9D5F-6EC989D592BC}"/>
    <cellStyle name="Normal 2 4 2 3 2 2 7" xfId="2459" xr:uid="{00000000-0005-0000-0000-0000BE0E0000}"/>
    <cellStyle name="Normal 2 4 2 3 2 2 7 2" xfId="6743" xr:uid="{00000000-0005-0000-0000-0000BF0E0000}"/>
    <cellStyle name="Normal 2 4 2 3 2 2 7 2 2" xfId="15185" xr:uid="{9107935A-8F50-44D5-B1C6-71ECEC1C36B5}"/>
    <cellStyle name="Normal 2 4 2 3 2 2 7 3" xfId="10967" xr:uid="{2CC1C8F9-FF7D-4C36-834A-EF5FF211AF48}"/>
    <cellStyle name="Normal 2 4 2 3 2 2 8" xfId="4677" xr:uid="{00000000-0005-0000-0000-0000C00E0000}"/>
    <cellStyle name="Normal 2 4 2 3 2 2 8 2" xfId="13119" xr:uid="{914EEFEB-D912-4BAA-A195-CF52BF29E07F}"/>
    <cellStyle name="Normal 2 4 2 3 2 2 9" xfId="8901" xr:uid="{3797905E-678A-43E0-9A49-9E2C675272EA}"/>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332D65C6-8F04-4E62-912A-21F90C057E73}"/>
    <cellStyle name="Normal 2 4 2 3 2 3 2 2 3" xfId="11462" xr:uid="{2A730377-823C-4064-9715-07A7B4B3225E}"/>
    <cellStyle name="Normal 2 4 2 3 2 3 2 3" xfId="5093" xr:uid="{00000000-0005-0000-0000-0000C50E0000}"/>
    <cellStyle name="Normal 2 4 2 3 2 3 2 3 2" xfId="13535" xr:uid="{7AAC9BA8-F634-4A27-B62C-4637C163048F}"/>
    <cellStyle name="Normal 2 4 2 3 2 3 2 4" xfId="9317" xr:uid="{60407EB9-A525-4F19-BE34-0679865A5995}"/>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661A9A5B-2353-4856-9851-B50A69F615F2}"/>
    <cellStyle name="Normal 2 4 2 3 2 3 3 2 3" xfId="11875" xr:uid="{BE1A06C6-847C-4C52-8678-25E15882098E}"/>
    <cellStyle name="Normal 2 4 2 3 2 3 3 3" xfId="5506" xr:uid="{00000000-0005-0000-0000-0000C90E0000}"/>
    <cellStyle name="Normal 2 4 2 3 2 3 3 3 2" xfId="13948" xr:uid="{61B26291-F683-4B26-82DF-BAE6C1999E21}"/>
    <cellStyle name="Normal 2 4 2 3 2 3 3 4" xfId="9730" xr:uid="{E9044ACD-6DE9-40F3-88F8-72202F6D837B}"/>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05A9776D-69FB-4D45-B759-0BE3BD28FF14}"/>
    <cellStyle name="Normal 2 4 2 3 2 3 4 2 3" xfId="12288" xr:uid="{5D9C3C09-C5CA-4771-AF79-AF1357A41F5E}"/>
    <cellStyle name="Normal 2 4 2 3 2 3 4 3" xfId="5919" xr:uid="{00000000-0005-0000-0000-0000CD0E0000}"/>
    <cellStyle name="Normal 2 4 2 3 2 3 4 3 2" xfId="14361" xr:uid="{BD3550F6-1062-4D3C-8A70-CCD6EC248CF5}"/>
    <cellStyle name="Normal 2 4 2 3 2 3 4 4" xfId="10143" xr:uid="{C8A5599A-1167-49B4-B4CD-5F2CB3E5870B}"/>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BE9FD6C9-8258-4B23-A573-816EC995A7AD}"/>
    <cellStyle name="Normal 2 4 2 3 2 3 5 2 3" xfId="12701" xr:uid="{90666ACB-DF77-4603-BB45-E5F9E4035DA1}"/>
    <cellStyle name="Normal 2 4 2 3 2 3 5 3" xfId="6332" xr:uid="{00000000-0005-0000-0000-0000D10E0000}"/>
    <cellStyle name="Normal 2 4 2 3 2 3 5 3 2" xfId="14774" xr:uid="{DAC8E41E-4E5D-4193-A8FD-4CF3FB4CFF2A}"/>
    <cellStyle name="Normal 2 4 2 3 2 3 5 4" xfId="10556" xr:uid="{BC481EEE-0A8B-4F0E-A834-F27B7D19D263}"/>
    <cellStyle name="Normal 2 4 2 3 2 3 6" xfId="2461" xr:uid="{00000000-0005-0000-0000-0000D20E0000}"/>
    <cellStyle name="Normal 2 4 2 3 2 3 6 2" xfId="6745" xr:uid="{00000000-0005-0000-0000-0000D30E0000}"/>
    <cellStyle name="Normal 2 4 2 3 2 3 6 2 2" xfId="15187" xr:uid="{C115492A-FE74-4903-A8B6-2BA2DEE4E99A}"/>
    <cellStyle name="Normal 2 4 2 3 2 3 6 3" xfId="10969" xr:uid="{E4E3CA1C-184C-412F-8ECB-CE80EDEF1F0A}"/>
    <cellStyle name="Normal 2 4 2 3 2 3 7" xfId="4679" xr:uid="{00000000-0005-0000-0000-0000D40E0000}"/>
    <cellStyle name="Normal 2 4 2 3 2 3 7 2" xfId="13121" xr:uid="{3FCF2D66-9279-4B7A-B5EB-614C0141A5A6}"/>
    <cellStyle name="Normal 2 4 2 3 2 3 8" xfId="8903" xr:uid="{914B37BE-FD17-4371-AFFD-D6E19ED7AEB3}"/>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C745A0B3-4DE5-4A32-9269-17EA83AB8AA5}"/>
    <cellStyle name="Normal 2 4 2 3 2 4 2 3" xfId="11459" xr:uid="{46BBEA6B-D4E5-436C-9318-EB6A1A8755B7}"/>
    <cellStyle name="Normal 2 4 2 3 2 4 3" xfId="5090" xr:uid="{00000000-0005-0000-0000-0000D80E0000}"/>
    <cellStyle name="Normal 2 4 2 3 2 4 3 2" xfId="13532" xr:uid="{1192AD81-57C5-4D48-AF96-481262A58D0A}"/>
    <cellStyle name="Normal 2 4 2 3 2 4 4" xfId="9314" xr:uid="{1D830C03-B697-4E58-AF17-159FBA96813F}"/>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EC300F1D-7D24-4642-AF6C-9B1784039668}"/>
    <cellStyle name="Normal 2 4 2 3 2 5 2 3" xfId="11872" xr:uid="{4E9F6E07-408D-4F8F-90A3-BA5BC19B9666}"/>
    <cellStyle name="Normal 2 4 2 3 2 5 3" xfId="5503" xr:uid="{00000000-0005-0000-0000-0000DC0E0000}"/>
    <cellStyle name="Normal 2 4 2 3 2 5 3 2" xfId="13945" xr:uid="{E4457FDA-AF6A-4549-84FF-F000897D3FB0}"/>
    <cellStyle name="Normal 2 4 2 3 2 5 4" xfId="9727" xr:uid="{1A2C2332-BB8A-406D-92C4-46E0C36A2FBA}"/>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AB02508C-B0DE-486B-8C0E-7B65D596B982}"/>
    <cellStyle name="Normal 2 4 2 3 2 6 2 3" xfId="12285" xr:uid="{9414E36E-1FD1-4BF5-BDD1-AC11E6F646C0}"/>
    <cellStyle name="Normal 2 4 2 3 2 6 3" xfId="5916" xr:uid="{00000000-0005-0000-0000-0000E00E0000}"/>
    <cellStyle name="Normal 2 4 2 3 2 6 3 2" xfId="14358" xr:uid="{74D5E6B7-A13C-49F1-99A5-7126A558EC07}"/>
    <cellStyle name="Normal 2 4 2 3 2 6 4" xfId="10140" xr:uid="{74CD316A-71A2-41A6-9D08-E68A047D73CB}"/>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31E2AF89-BADF-4D4A-A7BE-DC8D9710BE8E}"/>
    <cellStyle name="Normal 2 4 2 3 2 7 2 3" xfId="12698" xr:uid="{D3342690-511B-47C2-8C1B-F69A94D525C8}"/>
    <cellStyle name="Normal 2 4 2 3 2 7 3" xfId="6329" xr:uid="{00000000-0005-0000-0000-0000E40E0000}"/>
    <cellStyle name="Normal 2 4 2 3 2 7 3 2" xfId="14771" xr:uid="{F29DB202-5382-44A3-9E31-95B26E628B2D}"/>
    <cellStyle name="Normal 2 4 2 3 2 7 4" xfId="10553" xr:uid="{8ED2BE2E-8A82-4511-826B-9D2E2F923561}"/>
    <cellStyle name="Normal 2 4 2 3 2 8" xfId="2458" xr:uid="{00000000-0005-0000-0000-0000E50E0000}"/>
    <cellStyle name="Normal 2 4 2 3 2 8 2" xfId="6742" xr:uid="{00000000-0005-0000-0000-0000E60E0000}"/>
    <cellStyle name="Normal 2 4 2 3 2 8 2 2" xfId="15184" xr:uid="{1B60969C-2474-440B-9393-CDBC7456A564}"/>
    <cellStyle name="Normal 2 4 2 3 2 8 3" xfId="10966" xr:uid="{DC96B5C0-817B-4917-9982-C3235B23273E}"/>
    <cellStyle name="Normal 2 4 2 3 2 9" xfId="4676" xr:uid="{00000000-0005-0000-0000-0000E70E0000}"/>
    <cellStyle name="Normal 2 4 2 3 2 9 2" xfId="13118" xr:uid="{054B6DC8-B69A-41E0-BD07-43153DDCDB3E}"/>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8A569686-F253-4CD9-9937-19B979AAECC0}"/>
    <cellStyle name="Normal 2 4 2 3 3 2 2 2 3" xfId="11464" xr:uid="{BDCF4CE1-C28E-4D91-9A43-C2F6AEBD0BA8}"/>
    <cellStyle name="Normal 2 4 2 3 3 2 2 3" xfId="5095" xr:uid="{00000000-0005-0000-0000-0000ED0E0000}"/>
    <cellStyle name="Normal 2 4 2 3 3 2 2 3 2" xfId="13537" xr:uid="{EBD973CF-EDB1-4256-B992-CD78B7AB4551}"/>
    <cellStyle name="Normal 2 4 2 3 3 2 2 4" xfId="9319" xr:uid="{2792F8EA-6E63-4A5A-AD76-45918CF30835}"/>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3B11DA48-B63A-4C45-8D18-F86B937A8909}"/>
    <cellStyle name="Normal 2 4 2 3 3 2 3 2 3" xfId="11877" xr:uid="{5D2978FF-4B44-4C31-94BC-4D1E84596E69}"/>
    <cellStyle name="Normal 2 4 2 3 3 2 3 3" xfId="5508" xr:uid="{00000000-0005-0000-0000-0000F10E0000}"/>
    <cellStyle name="Normal 2 4 2 3 3 2 3 3 2" xfId="13950" xr:uid="{6B17001F-7F40-4B64-A47A-3A0EDF6AC703}"/>
    <cellStyle name="Normal 2 4 2 3 3 2 3 4" xfId="9732" xr:uid="{40197CAB-1219-41E9-B559-837EDEA6D3AC}"/>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DEED6C08-34B0-485D-96B9-8D4F4619F7E3}"/>
    <cellStyle name="Normal 2 4 2 3 3 2 4 2 3" xfId="12290" xr:uid="{CB0655A4-DD6E-40F9-993A-96642749E6EE}"/>
    <cellStyle name="Normal 2 4 2 3 3 2 4 3" xfId="5921" xr:uid="{00000000-0005-0000-0000-0000F50E0000}"/>
    <cellStyle name="Normal 2 4 2 3 3 2 4 3 2" xfId="14363" xr:uid="{6A70AC86-863C-4D9B-9958-A0AF7BAE5E96}"/>
    <cellStyle name="Normal 2 4 2 3 3 2 4 4" xfId="10145" xr:uid="{C6A773EE-8632-4BC7-B366-33E9D9BE947F}"/>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077A370E-56E2-4C6E-91CE-51A94AE9C5E8}"/>
    <cellStyle name="Normal 2 4 2 3 3 2 5 2 3" xfId="12703" xr:uid="{EC286E78-692D-4A5E-9939-99258B8BC4B5}"/>
    <cellStyle name="Normal 2 4 2 3 3 2 5 3" xfId="6334" xr:uid="{00000000-0005-0000-0000-0000F90E0000}"/>
    <cellStyle name="Normal 2 4 2 3 3 2 5 3 2" xfId="14776" xr:uid="{79331397-3DB0-47BB-BF7A-D3D5C862F15A}"/>
    <cellStyle name="Normal 2 4 2 3 3 2 5 4" xfId="10558" xr:uid="{76F0D6DC-7961-44FB-A106-F435094CC359}"/>
    <cellStyle name="Normal 2 4 2 3 3 2 6" xfId="2463" xr:uid="{00000000-0005-0000-0000-0000FA0E0000}"/>
    <cellStyle name="Normal 2 4 2 3 3 2 6 2" xfId="6747" xr:uid="{00000000-0005-0000-0000-0000FB0E0000}"/>
    <cellStyle name="Normal 2 4 2 3 3 2 6 2 2" xfId="15189" xr:uid="{138608FD-72A0-45D2-A1C7-284002B5DA53}"/>
    <cellStyle name="Normal 2 4 2 3 3 2 6 3" xfId="10971" xr:uid="{5F1EB21E-D079-406F-9FFA-E1043BEDCD34}"/>
    <cellStyle name="Normal 2 4 2 3 3 2 7" xfId="4681" xr:uid="{00000000-0005-0000-0000-0000FC0E0000}"/>
    <cellStyle name="Normal 2 4 2 3 3 2 7 2" xfId="13123" xr:uid="{475E6EC4-24EB-4E9F-B606-132D402C0A4A}"/>
    <cellStyle name="Normal 2 4 2 3 3 2 8" xfId="8905" xr:uid="{C85B3350-98CB-4247-BB79-FDE468C4D1E2}"/>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0E44CE0D-5865-4F9B-A75C-346AD5C8CD26}"/>
    <cellStyle name="Normal 2 4 2 3 3 3 2 3" xfId="11463" xr:uid="{9B343490-7977-4C99-A179-AC988FA5A5EC}"/>
    <cellStyle name="Normal 2 4 2 3 3 3 3" xfId="5094" xr:uid="{00000000-0005-0000-0000-0000000F0000}"/>
    <cellStyle name="Normal 2 4 2 3 3 3 3 2" xfId="13536" xr:uid="{8075FC25-9662-4070-AAA1-4AC211E9E3C5}"/>
    <cellStyle name="Normal 2 4 2 3 3 3 4" xfId="9318" xr:uid="{686CCD1E-9C2F-4BE9-9377-980854CECB95}"/>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22B2E55D-D551-4193-8661-62944CBBD239}"/>
    <cellStyle name="Normal 2 4 2 3 3 4 2 3" xfId="11876" xr:uid="{671456D7-77DB-429D-85D8-065310056B5D}"/>
    <cellStyle name="Normal 2 4 2 3 3 4 3" xfId="5507" xr:uid="{00000000-0005-0000-0000-0000040F0000}"/>
    <cellStyle name="Normal 2 4 2 3 3 4 3 2" xfId="13949" xr:uid="{3BA15EDA-FB65-40DE-B4B0-D0F6B39150C3}"/>
    <cellStyle name="Normal 2 4 2 3 3 4 4" xfId="9731" xr:uid="{D9B4C212-83EC-483F-ADA3-2E71024D2785}"/>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E6AA2B29-9163-4698-84E0-D264C0BF4EDB}"/>
    <cellStyle name="Normal 2 4 2 3 3 5 2 3" xfId="12289" xr:uid="{F1F8F30A-67B6-414B-9507-AEFE017F6698}"/>
    <cellStyle name="Normal 2 4 2 3 3 5 3" xfId="5920" xr:uid="{00000000-0005-0000-0000-0000080F0000}"/>
    <cellStyle name="Normal 2 4 2 3 3 5 3 2" xfId="14362" xr:uid="{4BBED3C2-9AEC-460E-B1C9-1AF8063FCF59}"/>
    <cellStyle name="Normal 2 4 2 3 3 5 4" xfId="10144" xr:uid="{8A9F5797-568A-45EC-A3EA-0231AAC1933C}"/>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87A852B6-D1DD-4DD8-A069-7FFAF9CC5C24}"/>
    <cellStyle name="Normal 2 4 2 3 3 6 2 3" xfId="12702" xr:uid="{9A21B3DB-BBAA-4E13-89FD-C0DB1881E164}"/>
    <cellStyle name="Normal 2 4 2 3 3 6 3" xfId="6333" xr:uid="{00000000-0005-0000-0000-00000C0F0000}"/>
    <cellStyle name="Normal 2 4 2 3 3 6 3 2" xfId="14775" xr:uid="{1982B6F1-EEE6-49E8-9DFA-AFBA6C6E1FFE}"/>
    <cellStyle name="Normal 2 4 2 3 3 6 4" xfId="10557" xr:uid="{DA698A41-57A6-4490-9F37-784E8F8E3B4B}"/>
    <cellStyle name="Normal 2 4 2 3 3 7" xfId="2462" xr:uid="{00000000-0005-0000-0000-00000D0F0000}"/>
    <cellStyle name="Normal 2 4 2 3 3 7 2" xfId="6746" xr:uid="{00000000-0005-0000-0000-00000E0F0000}"/>
    <cellStyle name="Normal 2 4 2 3 3 7 2 2" xfId="15188" xr:uid="{0BF877EF-30E8-433D-9DC4-397BFAC6C523}"/>
    <cellStyle name="Normal 2 4 2 3 3 7 3" xfId="10970" xr:uid="{A2F3F8CB-22D9-4E87-BF10-99EB75766984}"/>
    <cellStyle name="Normal 2 4 2 3 3 8" xfId="4680" xr:uid="{00000000-0005-0000-0000-00000F0F0000}"/>
    <cellStyle name="Normal 2 4 2 3 3 8 2" xfId="13122" xr:uid="{884FA9C0-2416-4A09-A8D5-70CA09293B08}"/>
    <cellStyle name="Normal 2 4 2 3 3 9" xfId="8904" xr:uid="{0EADD48B-CB10-45D3-9083-7C4ECF27A722}"/>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4D066B34-D371-4BE1-A77F-D5C4DF2FC8FB}"/>
    <cellStyle name="Normal 2 4 2 3 4 2 2 3" xfId="11465" xr:uid="{FD6ED3C6-736F-46CA-97B1-E046C2AB467A}"/>
    <cellStyle name="Normal 2 4 2 3 4 2 3" xfId="5096" xr:uid="{00000000-0005-0000-0000-0000140F0000}"/>
    <cellStyle name="Normal 2 4 2 3 4 2 3 2" xfId="13538" xr:uid="{1BA5E2C5-9301-4D83-93B8-D81EC70FD151}"/>
    <cellStyle name="Normal 2 4 2 3 4 2 4" xfId="9320" xr:uid="{3C3DD541-26CA-46CC-823D-13815DD723D7}"/>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D7357779-E163-416B-9DB3-B685161A353F}"/>
    <cellStyle name="Normal 2 4 2 3 4 3 2 3" xfId="11878" xr:uid="{0077E76D-A9D1-4686-BFA4-F63AEB1855DC}"/>
    <cellStyle name="Normal 2 4 2 3 4 3 3" xfId="5509" xr:uid="{00000000-0005-0000-0000-0000180F0000}"/>
    <cellStyle name="Normal 2 4 2 3 4 3 3 2" xfId="13951" xr:uid="{23542321-5C6C-4CD5-9606-87B6C94BBA20}"/>
    <cellStyle name="Normal 2 4 2 3 4 3 4" xfId="9733" xr:uid="{C9413ABB-CEA3-4641-80DF-71E695772321}"/>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A6389E9D-5167-4D7F-9BF1-49E9C9DF7022}"/>
    <cellStyle name="Normal 2 4 2 3 4 4 2 3" xfId="12291" xr:uid="{94829FFE-7EEB-4916-93DF-6DDCECB3F921}"/>
    <cellStyle name="Normal 2 4 2 3 4 4 3" xfId="5922" xr:uid="{00000000-0005-0000-0000-00001C0F0000}"/>
    <cellStyle name="Normal 2 4 2 3 4 4 3 2" xfId="14364" xr:uid="{A37C0CAE-DC0F-4EEE-B783-9BB35AE78534}"/>
    <cellStyle name="Normal 2 4 2 3 4 4 4" xfId="10146" xr:uid="{9603F36E-141E-469E-8634-BB9AACCA9B6A}"/>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B71D1B25-B6CF-4067-960D-D3D2DF76AD45}"/>
    <cellStyle name="Normal 2 4 2 3 4 5 2 3" xfId="12704" xr:uid="{0BFDB3C0-E66F-493E-9682-E12A313521B1}"/>
    <cellStyle name="Normal 2 4 2 3 4 5 3" xfId="6335" xr:uid="{00000000-0005-0000-0000-0000200F0000}"/>
    <cellStyle name="Normal 2 4 2 3 4 5 3 2" xfId="14777" xr:uid="{4BAC533C-F93A-46C7-8DAA-E90EE87135DB}"/>
    <cellStyle name="Normal 2 4 2 3 4 5 4" xfId="10559" xr:uid="{8A91A4C1-BE66-4847-BCF0-A0A4A6FC42FE}"/>
    <cellStyle name="Normal 2 4 2 3 4 6" xfId="2464" xr:uid="{00000000-0005-0000-0000-0000210F0000}"/>
    <cellStyle name="Normal 2 4 2 3 4 6 2" xfId="6748" xr:uid="{00000000-0005-0000-0000-0000220F0000}"/>
    <cellStyle name="Normal 2 4 2 3 4 6 2 2" xfId="15190" xr:uid="{765702A1-645B-44B0-BA01-A82359CFFFD5}"/>
    <cellStyle name="Normal 2 4 2 3 4 6 3" xfId="10972" xr:uid="{23366A6B-66D8-435C-90D4-94FABB5F6904}"/>
    <cellStyle name="Normal 2 4 2 3 4 7" xfId="4682" xr:uid="{00000000-0005-0000-0000-0000230F0000}"/>
    <cellStyle name="Normal 2 4 2 3 4 7 2" xfId="13124" xr:uid="{C2EE7F58-9231-4752-BACF-FBED64B25B5F}"/>
    <cellStyle name="Normal 2 4 2 3 4 8" xfId="8906" xr:uid="{A0B1DD3F-7B30-4C58-8C8C-B5530E8E40F6}"/>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390ED9FF-0D3D-4F9D-8C13-3BC0EC3C38BF}"/>
    <cellStyle name="Normal 2 4 2 3 5 2 3" xfId="11458" xr:uid="{B37FBB08-A122-4479-9B05-645F2C3B16FB}"/>
    <cellStyle name="Normal 2 4 2 3 5 3" xfId="5089" xr:uid="{00000000-0005-0000-0000-0000270F0000}"/>
    <cellStyle name="Normal 2 4 2 3 5 3 2" xfId="13531" xr:uid="{54D58398-557C-4A0B-A8E3-8EC155BD73EC}"/>
    <cellStyle name="Normal 2 4 2 3 5 4" xfId="9313" xr:uid="{0ED4993D-B2CC-40BC-B27E-AF63E3F0ADB8}"/>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5A07E2E0-E16A-4AEC-A0A6-290C9D9051C0}"/>
    <cellStyle name="Normal 2 4 2 3 6 2 3" xfId="11871" xr:uid="{D09B8265-FA1E-404F-A7DD-2CA7245CE690}"/>
    <cellStyle name="Normal 2 4 2 3 6 3" xfId="5502" xr:uid="{00000000-0005-0000-0000-00002B0F0000}"/>
    <cellStyle name="Normal 2 4 2 3 6 3 2" xfId="13944" xr:uid="{D460FAF0-D874-4A75-AF6F-83D7BF153FD7}"/>
    <cellStyle name="Normal 2 4 2 3 6 4" xfId="9726" xr:uid="{ED54EF62-46EC-4B28-92F3-510116C25A6B}"/>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CD152088-1A33-4179-8528-85FCFD5A3B78}"/>
    <cellStyle name="Normal 2 4 2 3 7 2 3" xfId="12284" xr:uid="{33E5C716-E692-4E18-9193-B4EB2714A57F}"/>
    <cellStyle name="Normal 2 4 2 3 7 3" xfId="5915" xr:uid="{00000000-0005-0000-0000-00002F0F0000}"/>
    <cellStyle name="Normal 2 4 2 3 7 3 2" xfId="14357" xr:uid="{81B3EF70-C6B3-47EC-9FB9-10F59619778D}"/>
    <cellStyle name="Normal 2 4 2 3 7 4" xfId="10139" xr:uid="{DD4D51DE-8C3C-4C8D-A7B1-DF156E2FD76F}"/>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C5873A1A-9A1D-475F-A589-E156C8076439}"/>
    <cellStyle name="Normal 2 4 2 3 8 2 3" xfId="12697" xr:uid="{6AC9F66E-7069-4399-94C6-507418BC5F22}"/>
    <cellStyle name="Normal 2 4 2 3 8 3" xfId="6328" xr:uid="{00000000-0005-0000-0000-0000330F0000}"/>
    <cellStyle name="Normal 2 4 2 3 8 3 2" xfId="14770" xr:uid="{7F89618D-7B1A-41B9-83D2-8608BDE3DD08}"/>
    <cellStyle name="Normal 2 4 2 3 8 4" xfId="10552" xr:uid="{9E09961C-7E84-44F4-B756-80F54DA1A1BF}"/>
    <cellStyle name="Normal 2 4 2 3 9" xfId="2457" xr:uid="{00000000-0005-0000-0000-0000340F0000}"/>
    <cellStyle name="Normal 2 4 2 3 9 2" xfId="6741" xr:uid="{00000000-0005-0000-0000-0000350F0000}"/>
    <cellStyle name="Normal 2 4 2 3 9 2 2" xfId="15183" xr:uid="{ECA4B636-6C9F-4B60-8C64-C3596BD3D9C6}"/>
    <cellStyle name="Normal 2 4 2 3 9 3" xfId="10965" xr:uid="{8DD08F9C-3620-4F27-A0C8-A4F13D4DBC77}"/>
    <cellStyle name="Normal 2 4 2 4" xfId="289" xr:uid="{00000000-0005-0000-0000-0000360F0000}"/>
    <cellStyle name="Normal 2 4 2 4 10" xfId="8907" xr:uid="{AE4556FB-6763-4CE7-9660-DF0B6F82DD07}"/>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5F1DB34B-A37D-48BD-8663-3CCA51E1457D}"/>
    <cellStyle name="Normal 2 4 2 4 2 2 2 2 3" xfId="11468" xr:uid="{CDCB372C-61F0-4F8B-BED6-3F2BE9EBDE91}"/>
    <cellStyle name="Normal 2 4 2 4 2 2 2 3" xfId="5099" xr:uid="{00000000-0005-0000-0000-00003C0F0000}"/>
    <cellStyle name="Normal 2 4 2 4 2 2 2 3 2" xfId="13541" xr:uid="{E3DA86D1-4391-4FC4-8CA8-8785333376CF}"/>
    <cellStyle name="Normal 2 4 2 4 2 2 2 4" xfId="9323" xr:uid="{998A622E-5AF0-45C2-83B3-ABFE1CE2E753}"/>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6F0E9C5B-5AC1-4504-A3F0-CCE352C05F13}"/>
    <cellStyle name="Normal 2 4 2 4 2 2 3 2 3" xfId="11881" xr:uid="{4C06C2DD-A1FF-4F86-90C4-299A800A3606}"/>
    <cellStyle name="Normal 2 4 2 4 2 2 3 3" xfId="5512" xr:uid="{00000000-0005-0000-0000-0000400F0000}"/>
    <cellStyle name="Normal 2 4 2 4 2 2 3 3 2" xfId="13954" xr:uid="{8D0F0B59-FF77-471F-AB38-BDE58972E285}"/>
    <cellStyle name="Normal 2 4 2 4 2 2 3 4" xfId="9736" xr:uid="{16A3CDCB-F084-4336-BC01-1438889779C7}"/>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63821269-7060-46DA-9AA9-AF739C40F223}"/>
    <cellStyle name="Normal 2 4 2 4 2 2 4 2 3" xfId="12294" xr:uid="{AC21736B-7CD6-4447-9D88-E3B5D212418A}"/>
    <cellStyle name="Normal 2 4 2 4 2 2 4 3" xfId="5925" xr:uid="{00000000-0005-0000-0000-0000440F0000}"/>
    <cellStyle name="Normal 2 4 2 4 2 2 4 3 2" xfId="14367" xr:uid="{931BC0B6-BA2B-44AD-8E64-E476612A3731}"/>
    <cellStyle name="Normal 2 4 2 4 2 2 4 4" xfId="10149" xr:uid="{C6CFDF35-F95E-4DE6-A5AD-778EDADB7D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EEDD5C69-843C-499E-B523-50B329228A23}"/>
    <cellStyle name="Normal 2 4 2 4 2 2 5 2 3" xfId="12707" xr:uid="{E7B3750D-B99C-4A82-BCED-ADD784E05C18}"/>
    <cellStyle name="Normal 2 4 2 4 2 2 5 3" xfId="6338" xr:uid="{00000000-0005-0000-0000-0000480F0000}"/>
    <cellStyle name="Normal 2 4 2 4 2 2 5 3 2" xfId="14780" xr:uid="{3A2891FE-77B8-4B7B-9DC5-948E92FA3186}"/>
    <cellStyle name="Normal 2 4 2 4 2 2 5 4" xfId="10562" xr:uid="{0D0B17B5-AAC1-4853-8989-61545A476698}"/>
    <cellStyle name="Normal 2 4 2 4 2 2 6" xfId="2467" xr:uid="{00000000-0005-0000-0000-0000490F0000}"/>
    <cellStyle name="Normal 2 4 2 4 2 2 6 2" xfId="6751" xr:uid="{00000000-0005-0000-0000-00004A0F0000}"/>
    <cellStyle name="Normal 2 4 2 4 2 2 6 2 2" xfId="15193" xr:uid="{F0814A4C-9FC1-467A-B601-3D527B0CD906}"/>
    <cellStyle name="Normal 2 4 2 4 2 2 6 3" xfId="10975" xr:uid="{62D9E48A-D84F-4517-BF2C-D2FE07E25B8E}"/>
    <cellStyle name="Normal 2 4 2 4 2 2 7" xfId="4685" xr:uid="{00000000-0005-0000-0000-00004B0F0000}"/>
    <cellStyle name="Normal 2 4 2 4 2 2 7 2" xfId="13127" xr:uid="{982EA8D5-A976-4068-95A3-32552CC38CD3}"/>
    <cellStyle name="Normal 2 4 2 4 2 2 8" xfId="8909" xr:uid="{71AD00F7-CF60-4B36-B694-9F566E2DE3CC}"/>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A4DCD22B-E071-4687-B04D-E44E4A645108}"/>
    <cellStyle name="Normal 2 4 2 4 2 3 2 3" xfId="11467" xr:uid="{AB738D17-6A59-4617-8767-B18A20DC4D1F}"/>
    <cellStyle name="Normal 2 4 2 4 2 3 3" xfId="5098" xr:uid="{00000000-0005-0000-0000-00004F0F0000}"/>
    <cellStyle name="Normal 2 4 2 4 2 3 3 2" xfId="13540" xr:uid="{0131F09D-BAAA-4FF1-88AF-E8AD8B5F85C8}"/>
    <cellStyle name="Normal 2 4 2 4 2 3 4" xfId="9322" xr:uid="{C58BA34C-6E21-4D03-81B3-6BE68552F918}"/>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2DFFC7DE-5F8C-42A6-A666-D5130DAD3B41}"/>
    <cellStyle name="Normal 2 4 2 4 2 4 2 3" xfId="11880" xr:uid="{614D84AE-71DE-4595-B7CC-A0A7AB3381B0}"/>
    <cellStyle name="Normal 2 4 2 4 2 4 3" xfId="5511" xr:uid="{00000000-0005-0000-0000-0000530F0000}"/>
    <cellStyle name="Normal 2 4 2 4 2 4 3 2" xfId="13953" xr:uid="{A8CAE411-A984-4876-A8F1-C1267764F903}"/>
    <cellStyle name="Normal 2 4 2 4 2 4 4" xfId="9735" xr:uid="{5993B11A-3267-4E39-B92A-AECCD6A6D37E}"/>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3D4EC8E6-D249-4EF4-9D77-55A3C0D620AD}"/>
    <cellStyle name="Normal 2 4 2 4 2 5 2 3" xfId="12293" xr:uid="{A9DECDBE-3660-4627-B5FB-6E5C2BA42756}"/>
    <cellStyle name="Normal 2 4 2 4 2 5 3" xfId="5924" xr:uid="{00000000-0005-0000-0000-0000570F0000}"/>
    <cellStyle name="Normal 2 4 2 4 2 5 3 2" xfId="14366" xr:uid="{2F69F18A-AC05-46FD-B536-F2E89E14E63B}"/>
    <cellStyle name="Normal 2 4 2 4 2 5 4" xfId="10148" xr:uid="{BE1BE2FD-179F-455A-AF53-CC636FF8FCA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6494BED9-E514-46A4-A3D6-59B271B1DF9E}"/>
    <cellStyle name="Normal 2 4 2 4 2 6 2 3" xfId="12706" xr:uid="{7A31E6A1-F95F-47C4-A5B2-9FA8EFF67ABE}"/>
    <cellStyle name="Normal 2 4 2 4 2 6 3" xfId="6337" xr:uid="{00000000-0005-0000-0000-00005B0F0000}"/>
    <cellStyle name="Normal 2 4 2 4 2 6 3 2" xfId="14779" xr:uid="{AB335758-8FA6-4CBC-9C26-33230E5D9DD9}"/>
    <cellStyle name="Normal 2 4 2 4 2 6 4" xfId="10561" xr:uid="{13D13C3A-5EED-4584-9765-AFC95ECE3A97}"/>
    <cellStyle name="Normal 2 4 2 4 2 7" xfId="2466" xr:uid="{00000000-0005-0000-0000-00005C0F0000}"/>
    <cellStyle name="Normal 2 4 2 4 2 7 2" xfId="6750" xr:uid="{00000000-0005-0000-0000-00005D0F0000}"/>
    <cellStyle name="Normal 2 4 2 4 2 7 2 2" xfId="15192" xr:uid="{162A65B3-3923-49CC-87D5-BBF24F990AC7}"/>
    <cellStyle name="Normal 2 4 2 4 2 7 3" xfId="10974" xr:uid="{233FFE87-2975-49D4-9BC6-DC33F10B2F25}"/>
    <cellStyle name="Normal 2 4 2 4 2 8" xfId="4684" xr:uid="{00000000-0005-0000-0000-00005E0F0000}"/>
    <cellStyle name="Normal 2 4 2 4 2 8 2" xfId="13126" xr:uid="{6EC5C7C6-7D9E-4B59-9AC9-E26EF84A8DE4}"/>
    <cellStyle name="Normal 2 4 2 4 2 9" xfId="8908" xr:uid="{55238269-140E-4BC2-A8B3-AECDDE1F8AA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3DD4EFA5-5454-49EE-8ED8-0BEE385B27D5}"/>
    <cellStyle name="Normal 2 4 2 4 3 2 2 3" xfId="11469" xr:uid="{07000A23-5C77-4FC6-A459-068B8ADA6122}"/>
    <cellStyle name="Normal 2 4 2 4 3 2 3" xfId="5100" xr:uid="{00000000-0005-0000-0000-0000630F0000}"/>
    <cellStyle name="Normal 2 4 2 4 3 2 3 2" xfId="13542" xr:uid="{252EA64F-FE2A-47BC-B6EB-8132C2984A06}"/>
    <cellStyle name="Normal 2 4 2 4 3 2 4" xfId="9324" xr:uid="{E20DFFFA-2F1A-4AED-855F-6AA31A753BD1}"/>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7C47B105-CB97-42BD-85D5-FEE9160113C1}"/>
    <cellStyle name="Normal 2 4 2 4 3 3 2 3" xfId="11882" xr:uid="{F3F2B023-AEF2-4D3C-B479-9A4558EA8504}"/>
    <cellStyle name="Normal 2 4 2 4 3 3 3" xfId="5513" xr:uid="{00000000-0005-0000-0000-0000670F0000}"/>
    <cellStyle name="Normal 2 4 2 4 3 3 3 2" xfId="13955" xr:uid="{FF68D701-E2CE-4615-A282-9F386A34AEF0}"/>
    <cellStyle name="Normal 2 4 2 4 3 3 4" xfId="9737" xr:uid="{5E87DAC4-15AE-4D11-9AA5-534D9BA5724A}"/>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12FB8192-B046-4692-8A47-A2E83ED90949}"/>
    <cellStyle name="Normal 2 4 2 4 3 4 2 3" xfId="12295" xr:uid="{C14A8C7F-F4CE-4974-8E2A-944BBF044C57}"/>
    <cellStyle name="Normal 2 4 2 4 3 4 3" xfId="5926" xr:uid="{00000000-0005-0000-0000-00006B0F0000}"/>
    <cellStyle name="Normal 2 4 2 4 3 4 3 2" xfId="14368" xr:uid="{325E343F-214D-499C-8D84-2CC83488D781}"/>
    <cellStyle name="Normal 2 4 2 4 3 4 4" xfId="10150" xr:uid="{42B26A37-624B-43F8-B85F-46BD997FB827}"/>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30F2ECC1-BDD7-41DC-AE6B-F8469E6D0CFD}"/>
    <cellStyle name="Normal 2 4 2 4 3 5 2 3" xfId="12708" xr:uid="{210DBF1D-8A99-4196-AB5F-D0FEEC8E740A}"/>
    <cellStyle name="Normal 2 4 2 4 3 5 3" xfId="6339" xr:uid="{00000000-0005-0000-0000-00006F0F0000}"/>
    <cellStyle name="Normal 2 4 2 4 3 5 3 2" xfId="14781" xr:uid="{F6AA727E-5E9F-42A5-9145-3EE528E03635}"/>
    <cellStyle name="Normal 2 4 2 4 3 5 4" xfId="10563" xr:uid="{569FEE67-0522-4E99-A126-E757E504FB84}"/>
    <cellStyle name="Normal 2 4 2 4 3 6" xfId="2468" xr:uid="{00000000-0005-0000-0000-0000700F0000}"/>
    <cellStyle name="Normal 2 4 2 4 3 6 2" xfId="6752" xr:uid="{00000000-0005-0000-0000-0000710F0000}"/>
    <cellStyle name="Normal 2 4 2 4 3 6 2 2" xfId="15194" xr:uid="{5B8C31DB-39EB-4051-89D7-8CDAEE303CF6}"/>
    <cellStyle name="Normal 2 4 2 4 3 6 3" xfId="10976" xr:uid="{290C3844-D126-46C4-978D-7EB49554A203}"/>
    <cellStyle name="Normal 2 4 2 4 3 7" xfId="4686" xr:uid="{00000000-0005-0000-0000-0000720F0000}"/>
    <cellStyle name="Normal 2 4 2 4 3 7 2" xfId="13128" xr:uid="{A2ACFEB7-D21E-4C9B-AAD4-4332FD97A2C1}"/>
    <cellStyle name="Normal 2 4 2 4 3 8" xfId="8910" xr:uid="{831081DD-69CC-4883-9229-44D70F5D41F6}"/>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F084685D-E012-4E4E-8DC5-08B17736CC10}"/>
    <cellStyle name="Normal 2 4 2 4 4 2 3" xfId="11466" xr:uid="{D9EB29F8-3A07-4872-B5FD-C35A7931A5A2}"/>
    <cellStyle name="Normal 2 4 2 4 4 3" xfId="5097" xr:uid="{00000000-0005-0000-0000-0000760F0000}"/>
    <cellStyle name="Normal 2 4 2 4 4 3 2" xfId="13539" xr:uid="{0A5B06B2-CFC3-438F-8F16-4DFEDB425C7B}"/>
    <cellStyle name="Normal 2 4 2 4 4 4" xfId="9321" xr:uid="{55ADE740-B99B-46D3-9328-0AD2C673B78A}"/>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B1E0D456-DB82-408A-826A-86A7D30CAC9D}"/>
    <cellStyle name="Normal 2 4 2 4 5 2 3" xfId="11879" xr:uid="{2DAE1C0A-607B-4BC1-B237-99397BB8B34F}"/>
    <cellStyle name="Normal 2 4 2 4 5 3" xfId="5510" xr:uid="{00000000-0005-0000-0000-00007A0F0000}"/>
    <cellStyle name="Normal 2 4 2 4 5 3 2" xfId="13952" xr:uid="{53995DD1-9320-4905-9BA8-DFAD0D950F00}"/>
    <cellStyle name="Normal 2 4 2 4 5 4" xfId="9734" xr:uid="{0A429EEE-F98C-40C0-AA81-14109646E2E5}"/>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DD52D955-A190-497A-97BF-A32032C7B2D4}"/>
    <cellStyle name="Normal 2 4 2 4 6 2 3" xfId="12292" xr:uid="{450F1A52-A465-4A48-BABD-DD1E4CFD89B5}"/>
    <cellStyle name="Normal 2 4 2 4 6 3" xfId="5923" xr:uid="{00000000-0005-0000-0000-00007E0F0000}"/>
    <cellStyle name="Normal 2 4 2 4 6 3 2" xfId="14365" xr:uid="{BB6F2083-58A1-47DD-B746-75FBFA28B4C3}"/>
    <cellStyle name="Normal 2 4 2 4 6 4" xfId="10147" xr:uid="{0D3D4419-85EE-4834-8510-E8F78E04729D}"/>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F9B7ADEA-469B-4254-A1D8-393B76D54F10}"/>
    <cellStyle name="Normal 2 4 2 4 7 2 3" xfId="12705" xr:uid="{9B08FD87-E618-4DD1-8DF3-254708AC8AA3}"/>
    <cellStyle name="Normal 2 4 2 4 7 3" xfId="6336" xr:uid="{00000000-0005-0000-0000-0000820F0000}"/>
    <cellStyle name="Normal 2 4 2 4 7 3 2" xfId="14778" xr:uid="{089B64D9-0B12-410D-8DD3-01A26FD2A5E1}"/>
    <cellStyle name="Normal 2 4 2 4 7 4" xfId="10560" xr:uid="{91C9314F-4799-48F4-B181-E12E42556436}"/>
    <cellStyle name="Normal 2 4 2 4 8" xfId="2465" xr:uid="{00000000-0005-0000-0000-0000830F0000}"/>
    <cellStyle name="Normal 2 4 2 4 8 2" xfId="6749" xr:uid="{00000000-0005-0000-0000-0000840F0000}"/>
    <cellStyle name="Normal 2 4 2 4 8 2 2" xfId="15191" xr:uid="{9D97B30D-7366-4511-974B-97CB579059A7}"/>
    <cellStyle name="Normal 2 4 2 4 8 3" xfId="10973" xr:uid="{505705FA-E75A-43E6-9B5D-01D106F29997}"/>
    <cellStyle name="Normal 2 4 2 4 9" xfId="4683" xr:uid="{00000000-0005-0000-0000-0000850F0000}"/>
    <cellStyle name="Normal 2 4 2 4 9 2" xfId="13125" xr:uid="{2DDE574F-F844-4BBB-961B-4FC1300131D9}"/>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61B21ECD-38D4-479E-BAC3-E2978B621A90}"/>
    <cellStyle name="Normal 2 4 2 5 2 2 2 3" xfId="11471" xr:uid="{4B730DAF-A07C-4E1E-B2A0-8EE38118AF21}"/>
    <cellStyle name="Normal 2 4 2 5 2 2 3" xfId="5102" xr:uid="{00000000-0005-0000-0000-00008B0F0000}"/>
    <cellStyle name="Normal 2 4 2 5 2 2 3 2" xfId="13544" xr:uid="{FCECA418-A08C-457A-83F4-80183D17FFD5}"/>
    <cellStyle name="Normal 2 4 2 5 2 2 4" xfId="9326" xr:uid="{96E05740-0A2F-44DD-BBFB-24533C0759B6}"/>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43450FC4-8732-490E-8318-7C98C162C64A}"/>
    <cellStyle name="Normal 2 4 2 5 2 3 2 3" xfId="11884" xr:uid="{E8C82A06-5A7C-4355-88A9-1A808A3B0050}"/>
    <cellStyle name="Normal 2 4 2 5 2 3 3" xfId="5515" xr:uid="{00000000-0005-0000-0000-00008F0F0000}"/>
    <cellStyle name="Normal 2 4 2 5 2 3 3 2" xfId="13957" xr:uid="{B3709FC7-885C-413D-B524-C5230C757009}"/>
    <cellStyle name="Normal 2 4 2 5 2 3 4" xfId="9739" xr:uid="{A6D94D80-D729-4093-AF6C-1EBC727A41C3}"/>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B19403B3-557A-4D13-B46A-10F3D8BACC26}"/>
    <cellStyle name="Normal 2 4 2 5 2 4 2 3" xfId="12297" xr:uid="{B818EEA6-1E7B-4F0B-B7F3-3A306EB10E77}"/>
    <cellStyle name="Normal 2 4 2 5 2 4 3" xfId="5928" xr:uid="{00000000-0005-0000-0000-0000930F0000}"/>
    <cellStyle name="Normal 2 4 2 5 2 4 3 2" xfId="14370" xr:uid="{922EBB77-72BE-49D9-9B86-E52D635C29EB}"/>
    <cellStyle name="Normal 2 4 2 5 2 4 4" xfId="10152" xr:uid="{EAFDF4A5-D6F7-4D83-806A-DA8A2DBDC404}"/>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A808A807-AEFB-42F3-BF63-1D72F74FD5D2}"/>
    <cellStyle name="Normal 2 4 2 5 2 5 2 3" xfId="12710" xr:uid="{FB6451E5-B5A0-4111-8C08-C06BD8D41DC5}"/>
    <cellStyle name="Normal 2 4 2 5 2 5 3" xfId="6341" xr:uid="{00000000-0005-0000-0000-0000970F0000}"/>
    <cellStyle name="Normal 2 4 2 5 2 5 3 2" xfId="14783" xr:uid="{882225F2-E7E1-4285-B4DA-ABF93E4FCA42}"/>
    <cellStyle name="Normal 2 4 2 5 2 5 4" xfId="10565" xr:uid="{F78753A7-0BAF-4BED-AD96-1C1441E6C7A5}"/>
    <cellStyle name="Normal 2 4 2 5 2 6" xfId="2470" xr:uid="{00000000-0005-0000-0000-0000980F0000}"/>
    <cellStyle name="Normal 2 4 2 5 2 6 2" xfId="6754" xr:uid="{00000000-0005-0000-0000-0000990F0000}"/>
    <cellStyle name="Normal 2 4 2 5 2 6 2 2" xfId="15196" xr:uid="{C416ED9D-9924-46C1-B4B0-59CEAFC6876D}"/>
    <cellStyle name="Normal 2 4 2 5 2 6 3" xfId="10978" xr:uid="{87F4405A-AA16-4A98-AA75-B26B135434CC}"/>
    <cellStyle name="Normal 2 4 2 5 2 7" xfId="4688" xr:uid="{00000000-0005-0000-0000-00009A0F0000}"/>
    <cellStyle name="Normal 2 4 2 5 2 7 2" xfId="13130" xr:uid="{45AAD7F8-E611-49B6-9E7B-4C003B044A98}"/>
    <cellStyle name="Normal 2 4 2 5 2 8" xfId="8912" xr:uid="{34F82CD7-2892-40FB-A22B-01C33C09F1A4}"/>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63275AD0-FBC6-49D5-AA16-BD26FD24833B}"/>
    <cellStyle name="Normal 2 4 2 5 3 2 3" xfId="11470" xr:uid="{B7D76B96-C0CF-492F-ACD8-E52C5E4AE263}"/>
    <cellStyle name="Normal 2 4 2 5 3 3" xfId="5101" xr:uid="{00000000-0005-0000-0000-00009E0F0000}"/>
    <cellStyle name="Normal 2 4 2 5 3 3 2" xfId="13543" xr:uid="{D129EBFD-1C5A-4F8B-99A5-5702A688CA70}"/>
    <cellStyle name="Normal 2 4 2 5 3 4" xfId="9325" xr:uid="{1A8DB90B-5359-4EE8-BC73-C7FA1F4F1F0F}"/>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3868970D-B1FC-4CF5-BD4F-2736A8ED8BC1}"/>
    <cellStyle name="Normal 2 4 2 5 4 2 3" xfId="11883" xr:uid="{C0277D25-36AA-4050-B233-910E195432B1}"/>
    <cellStyle name="Normal 2 4 2 5 4 3" xfId="5514" xr:uid="{00000000-0005-0000-0000-0000A20F0000}"/>
    <cellStyle name="Normal 2 4 2 5 4 3 2" xfId="13956" xr:uid="{BEEC7936-2A50-40E0-BE03-E1A033CFD603}"/>
    <cellStyle name="Normal 2 4 2 5 4 4" xfId="9738" xr:uid="{9670C06D-19DF-465E-979C-FA0EBC51A87B}"/>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4B819914-ADEA-4A4D-9B8D-C8E759DD5862}"/>
    <cellStyle name="Normal 2 4 2 5 5 2 3" xfId="12296" xr:uid="{D2823367-6401-459F-A0BC-A09F9136F63C}"/>
    <cellStyle name="Normal 2 4 2 5 5 3" xfId="5927" xr:uid="{00000000-0005-0000-0000-0000A60F0000}"/>
    <cellStyle name="Normal 2 4 2 5 5 3 2" xfId="14369" xr:uid="{4C828DB9-C348-49C0-897C-C92FCA81418E}"/>
    <cellStyle name="Normal 2 4 2 5 5 4" xfId="10151" xr:uid="{B584C2DE-A18F-464D-975E-07B033656A7D}"/>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F2FED7F6-D4F7-4A0E-86E9-835EA26F784D}"/>
    <cellStyle name="Normal 2 4 2 5 6 2 3" xfId="12709" xr:uid="{BB83382A-E98C-4B81-B0EB-6BF54ED03206}"/>
    <cellStyle name="Normal 2 4 2 5 6 3" xfId="6340" xr:uid="{00000000-0005-0000-0000-0000AA0F0000}"/>
    <cellStyle name="Normal 2 4 2 5 6 3 2" xfId="14782" xr:uid="{487FE75D-B0A2-466C-8A86-869A61CEC3B6}"/>
    <cellStyle name="Normal 2 4 2 5 6 4" xfId="10564" xr:uid="{EE2E1B07-5AC3-4C25-A9BF-E1E622D0C896}"/>
    <cellStyle name="Normal 2 4 2 5 7" xfId="2469" xr:uid="{00000000-0005-0000-0000-0000AB0F0000}"/>
    <cellStyle name="Normal 2 4 2 5 7 2" xfId="6753" xr:uid="{00000000-0005-0000-0000-0000AC0F0000}"/>
    <cellStyle name="Normal 2 4 2 5 7 2 2" xfId="15195" xr:uid="{E33971D4-D5BD-406F-94C2-13E7A1F8EA92}"/>
    <cellStyle name="Normal 2 4 2 5 7 3" xfId="10977" xr:uid="{B9066CE1-2CB6-4956-A687-AED4A87EE660}"/>
    <cellStyle name="Normal 2 4 2 5 8" xfId="4687" xr:uid="{00000000-0005-0000-0000-0000AD0F0000}"/>
    <cellStyle name="Normal 2 4 2 5 8 2" xfId="13129" xr:uid="{4577AF77-7D6B-4CC1-896D-4F7198BD5E92}"/>
    <cellStyle name="Normal 2 4 2 5 9" xfId="8911" xr:uid="{7BF62193-8D6F-4A22-9D8B-2A7569AE40C3}"/>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C57B4B44-F613-45BD-9DBE-7CB2EE79B4B9}"/>
    <cellStyle name="Normal 2 4 2 6 2 2 3" xfId="11472" xr:uid="{0937E32C-B34A-453C-BCAC-B473E3FE8377}"/>
    <cellStyle name="Normal 2 4 2 6 2 3" xfId="5103" xr:uid="{00000000-0005-0000-0000-0000B20F0000}"/>
    <cellStyle name="Normal 2 4 2 6 2 3 2" xfId="13545" xr:uid="{ADDD295B-C073-452D-B1B1-8AE961D4E03B}"/>
    <cellStyle name="Normal 2 4 2 6 2 4" xfId="9327" xr:uid="{0D59990A-95B5-4E1D-B2C1-B7B8DA4BC6B5}"/>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EE8890FE-BFB8-43E1-B34C-CE82FA306372}"/>
    <cellStyle name="Normal 2 4 2 6 3 2 3" xfId="11885" xr:uid="{70B05A55-7A52-4764-BBFA-18A4EF1E924E}"/>
    <cellStyle name="Normal 2 4 2 6 3 3" xfId="5516" xr:uid="{00000000-0005-0000-0000-0000B60F0000}"/>
    <cellStyle name="Normal 2 4 2 6 3 3 2" xfId="13958" xr:uid="{C9CD7751-E235-4109-BEFB-480ADEED9514}"/>
    <cellStyle name="Normal 2 4 2 6 3 4" xfId="9740" xr:uid="{462490F1-CF53-4F32-B188-7B00D3CEC10B}"/>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FD486E93-4596-454E-A986-9F57F6E1F84B}"/>
    <cellStyle name="Normal 2 4 2 6 4 2 3" xfId="12298" xr:uid="{330B8C3D-E234-4324-A809-DEE5AE75B058}"/>
    <cellStyle name="Normal 2 4 2 6 4 3" xfId="5929" xr:uid="{00000000-0005-0000-0000-0000BA0F0000}"/>
    <cellStyle name="Normal 2 4 2 6 4 3 2" xfId="14371" xr:uid="{B617A307-C8E0-40FF-BE2B-4FDFBA1CA3E8}"/>
    <cellStyle name="Normal 2 4 2 6 4 4" xfId="10153" xr:uid="{4E53CECD-37FF-4AA6-81DA-20DADD64AC48}"/>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8AD2CA29-E698-411A-969E-DE3143E1C962}"/>
    <cellStyle name="Normal 2 4 2 6 5 2 3" xfId="12711" xr:uid="{B4DAAA33-B3A9-41EA-8129-98CEA83ADC9D}"/>
    <cellStyle name="Normal 2 4 2 6 5 3" xfId="6342" xr:uid="{00000000-0005-0000-0000-0000BE0F0000}"/>
    <cellStyle name="Normal 2 4 2 6 5 3 2" xfId="14784" xr:uid="{1A3A8A49-CCEF-42D9-8D19-9E39F82208F7}"/>
    <cellStyle name="Normal 2 4 2 6 5 4" xfId="10566" xr:uid="{DBEAD2B8-25D6-46F9-A966-A1CFDCF0D048}"/>
    <cellStyle name="Normal 2 4 2 6 6" xfId="2471" xr:uid="{00000000-0005-0000-0000-0000BF0F0000}"/>
    <cellStyle name="Normal 2 4 2 6 6 2" xfId="6755" xr:uid="{00000000-0005-0000-0000-0000C00F0000}"/>
    <cellStyle name="Normal 2 4 2 6 6 2 2" xfId="15197" xr:uid="{9AEFA544-31E4-4C6D-ADAF-F9741B286E33}"/>
    <cellStyle name="Normal 2 4 2 6 6 3" xfId="10979" xr:uid="{1527846A-A339-447F-9FB5-95A7B1B3974F}"/>
    <cellStyle name="Normal 2 4 2 6 7" xfId="4689" xr:uid="{00000000-0005-0000-0000-0000C10F0000}"/>
    <cellStyle name="Normal 2 4 2 6 7 2" xfId="13131" xr:uid="{1095DEC7-CBF0-44D1-8609-78C1EE25D613}"/>
    <cellStyle name="Normal 2 4 2 6 8" xfId="8913" xr:uid="{C30E29A0-3E5E-46E0-A29A-E3D90CFAA216}"/>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89C7A520-6435-467B-AB05-EA043666CBB3}"/>
    <cellStyle name="Normal 2 4 2 7 2 3" xfId="11457" xr:uid="{569C63FC-2BAD-4058-98EA-BFEBC35A6299}"/>
    <cellStyle name="Normal 2 4 2 7 3" xfId="5088" xr:uid="{00000000-0005-0000-0000-0000C50F0000}"/>
    <cellStyle name="Normal 2 4 2 7 3 2" xfId="13530" xr:uid="{9215E0FF-E682-4F63-B354-9737A003DCBD}"/>
    <cellStyle name="Normal 2 4 2 7 4" xfId="9312" xr:uid="{1217B2D7-A676-4D08-B487-7E8DBD1603CF}"/>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EFAF794F-8DDF-4B6B-9CC3-0D49D1740CDD}"/>
    <cellStyle name="Normal 2 4 2 8 2 3" xfId="11870" xr:uid="{42FE2287-4B04-4F08-97B0-552814C96453}"/>
    <cellStyle name="Normal 2 4 2 8 3" xfId="5501" xr:uid="{00000000-0005-0000-0000-0000C90F0000}"/>
    <cellStyle name="Normal 2 4 2 8 3 2" xfId="13943" xr:uid="{172D04E7-1E9B-4E2E-B2E5-C160926DDC54}"/>
    <cellStyle name="Normal 2 4 2 8 4" xfId="9725" xr:uid="{8D364D57-9B1F-41C4-BB24-B6BF2DB4A830}"/>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1A2DC100-FE8A-4D7E-BF6F-BB750EA46900}"/>
    <cellStyle name="Normal 2 4 2 9 2 3" xfId="12283" xr:uid="{5BBA4E58-87D1-4F4F-9C4F-1827B35828A9}"/>
    <cellStyle name="Normal 2 4 2 9 3" xfId="5914" xr:uid="{00000000-0005-0000-0000-0000CD0F0000}"/>
    <cellStyle name="Normal 2 4 2 9 3 2" xfId="14356" xr:uid="{65DE0B38-3009-4B11-8974-0354F8EA7925}"/>
    <cellStyle name="Normal 2 4 2 9 4" xfId="10138" xr:uid="{1E0F1796-4E6F-4995-BCF6-B531647ED436}"/>
    <cellStyle name="Normal 2 4 3" xfId="296" xr:uid="{00000000-0005-0000-0000-0000CE0F0000}"/>
    <cellStyle name="Normal 2 4 3 10" xfId="8914" xr:uid="{00B5F286-460C-4495-8A44-BDB4B858B660}"/>
    <cellStyle name="Normal 2 4 3 2" xfId="297" xr:uid="{00000000-0005-0000-0000-0000CF0F0000}"/>
    <cellStyle name="Normal 2 4 3 3" xfId="298" xr:uid="{00000000-0005-0000-0000-0000D00F0000}"/>
    <cellStyle name="Normal 2 4 3 3 10" xfId="8915" xr:uid="{D2D1A0D4-0CF5-4CC8-9D84-A538D873987B}"/>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13C953DA-8B34-4A2D-8E9C-7F3FABA858FB}"/>
    <cellStyle name="Normal 2 4 3 3 2 2 2 2 3" xfId="11476" xr:uid="{6EF9B5AC-132F-4515-9CC1-255861EF1686}"/>
    <cellStyle name="Normal 2 4 3 3 2 2 2 3" xfId="5107" xr:uid="{00000000-0005-0000-0000-0000D60F0000}"/>
    <cellStyle name="Normal 2 4 3 3 2 2 2 3 2" xfId="13549" xr:uid="{4D53E9E0-AB87-45B4-B95B-6085D2F6EE56}"/>
    <cellStyle name="Normal 2 4 3 3 2 2 2 4" xfId="9331" xr:uid="{3744B825-8E9E-46D6-BC6B-44E73A24F793}"/>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08CB04CB-D37C-43A5-ACD5-5809A451C700}"/>
    <cellStyle name="Normal 2 4 3 3 2 2 3 2 3" xfId="11889" xr:uid="{6BAD8547-1E44-4DB3-983B-93CFF16C387C}"/>
    <cellStyle name="Normal 2 4 3 3 2 2 3 3" xfId="5520" xr:uid="{00000000-0005-0000-0000-0000DA0F0000}"/>
    <cellStyle name="Normal 2 4 3 3 2 2 3 3 2" xfId="13962" xr:uid="{3397B267-6551-4569-9962-E366BF4057C7}"/>
    <cellStyle name="Normal 2 4 3 3 2 2 3 4" xfId="9744" xr:uid="{34906439-BCDB-49DC-8C2F-58C1ED622D4F}"/>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B9696C11-F101-4835-85EB-B0FFC3C54447}"/>
    <cellStyle name="Normal 2 4 3 3 2 2 4 2 3" xfId="12302" xr:uid="{77655DB6-AD3A-434E-A0C9-5E9A16BA89F6}"/>
    <cellStyle name="Normal 2 4 3 3 2 2 4 3" xfId="5933" xr:uid="{00000000-0005-0000-0000-0000DE0F0000}"/>
    <cellStyle name="Normal 2 4 3 3 2 2 4 3 2" xfId="14375" xr:uid="{EACA542D-11C4-43E7-A298-03934F6E7E4F}"/>
    <cellStyle name="Normal 2 4 3 3 2 2 4 4" xfId="10157" xr:uid="{A42118ED-A780-4483-9180-72C98BB4A9A2}"/>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76E3BDA1-44F2-4300-80FA-8E9360812602}"/>
    <cellStyle name="Normal 2 4 3 3 2 2 5 2 3" xfId="12715" xr:uid="{162224AB-AD7D-4206-98F3-4F0B4D481908}"/>
    <cellStyle name="Normal 2 4 3 3 2 2 5 3" xfId="6346" xr:uid="{00000000-0005-0000-0000-0000E20F0000}"/>
    <cellStyle name="Normal 2 4 3 3 2 2 5 3 2" xfId="14788" xr:uid="{47FCEDD0-2582-4A30-A5BF-55295D341ACE}"/>
    <cellStyle name="Normal 2 4 3 3 2 2 5 4" xfId="10570" xr:uid="{7AECCF6B-3A30-4C42-B874-0F6A2B09AFD3}"/>
    <cellStyle name="Normal 2 4 3 3 2 2 6" xfId="2475" xr:uid="{00000000-0005-0000-0000-0000E30F0000}"/>
    <cellStyle name="Normal 2 4 3 3 2 2 6 2" xfId="6759" xr:uid="{00000000-0005-0000-0000-0000E40F0000}"/>
    <cellStyle name="Normal 2 4 3 3 2 2 6 2 2" xfId="15201" xr:uid="{2D5721B2-3C7C-4F38-965A-9A23BE680563}"/>
    <cellStyle name="Normal 2 4 3 3 2 2 6 3" xfId="10983" xr:uid="{9CBDB17E-AC0D-470F-9001-43D14488864A}"/>
    <cellStyle name="Normal 2 4 3 3 2 2 7" xfId="4693" xr:uid="{00000000-0005-0000-0000-0000E50F0000}"/>
    <cellStyle name="Normal 2 4 3 3 2 2 7 2" xfId="13135" xr:uid="{1C249087-5BF1-4F6A-9B85-B92A4BE530B3}"/>
    <cellStyle name="Normal 2 4 3 3 2 2 8" xfId="8917" xr:uid="{C03AEC58-8184-4871-B578-2CBB554CCCC6}"/>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CE5FD324-3959-4CFC-8C0B-5C31078F9404}"/>
    <cellStyle name="Normal 2 4 3 3 2 3 2 3" xfId="11475" xr:uid="{B168DF4E-E49E-4A2A-A46B-3D13F70E91E5}"/>
    <cellStyle name="Normal 2 4 3 3 2 3 3" xfId="5106" xr:uid="{00000000-0005-0000-0000-0000E90F0000}"/>
    <cellStyle name="Normal 2 4 3 3 2 3 3 2" xfId="13548" xr:uid="{A96FF53A-C25E-470D-B66B-41489FA2A1D4}"/>
    <cellStyle name="Normal 2 4 3 3 2 3 4" xfId="9330" xr:uid="{5E96803B-6F0E-4C9D-AA68-FB5AF9C128F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0989FC72-7218-487E-983D-62C74D37631B}"/>
    <cellStyle name="Normal 2 4 3 3 2 4 2 3" xfId="11888" xr:uid="{43A83265-16B4-43DC-91A8-B6B4D445F89F}"/>
    <cellStyle name="Normal 2 4 3 3 2 4 3" xfId="5519" xr:uid="{00000000-0005-0000-0000-0000ED0F0000}"/>
    <cellStyle name="Normal 2 4 3 3 2 4 3 2" xfId="13961" xr:uid="{14C32279-8BA2-494A-BC75-CE66507A26A4}"/>
    <cellStyle name="Normal 2 4 3 3 2 4 4" xfId="9743" xr:uid="{BBBEA62B-CD8C-4ADF-B4A3-C9292522EBA2}"/>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22E9E81A-B90F-4BA6-BA54-435F904E0B10}"/>
    <cellStyle name="Normal 2 4 3 3 2 5 2 3" xfId="12301" xr:uid="{D8896247-C4CE-4993-8BAF-0EFEED44278C}"/>
    <cellStyle name="Normal 2 4 3 3 2 5 3" xfId="5932" xr:uid="{00000000-0005-0000-0000-0000F10F0000}"/>
    <cellStyle name="Normal 2 4 3 3 2 5 3 2" xfId="14374" xr:uid="{84DF40CA-78A7-4BE4-BCE8-05D88441EE2F}"/>
    <cellStyle name="Normal 2 4 3 3 2 5 4" xfId="10156" xr:uid="{B5F9E4E8-7AA5-493B-8827-B2A799F0894D}"/>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B0DFC47E-89DE-4874-9C5C-225ACE2A7C18}"/>
    <cellStyle name="Normal 2 4 3 3 2 6 2 3" xfId="12714" xr:uid="{0D59ABF5-8782-4E7C-BF75-58B73DD23798}"/>
    <cellStyle name="Normal 2 4 3 3 2 6 3" xfId="6345" xr:uid="{00000000-0005-0000-0000-0000F50F0000}"/>
    <cellStyle name="Normal 2 4 3 3 2 6 3 2" xfId="14787" xr:uid="{F7FAC960-952D-4919-83A0-67C53A9D690C}"/>
    <cellStyle name="Normal 2 4 3 3 2 6 4" xfId="10569" xr:uid="{CB0B4AF9-075C-4315-B32E-B9C36CEEDFDB}"/>
    <cellStyle name="Normal 2 4 3 3 2 7" xfId="2474" xr:uid="{00000000-0005-0000-0000-0000F60F0000}"/>
    <cellStyle name="Normal 2 4 3 3 2 7 2" xfId="6758" xr:uid="{00000000-0005-0000-0000-0000F70F0000}"/>
    <cellStyle name="Normal 2 4 3 3 2 7 2 2" xfId="15200" xr:uid="{56FC7773-6106-4D89-A2C8-1B4572587D4E}"/>
    <cellStyle name="Normal 2 4 3 3 2 7 3" xfId="10982" xr:uid="{5E0880E9-8901-4B58-8DE5-DB8B88CFE6C4}"/>
    <cellStyle name="Normal 2 4 3 3 2 8" xfId="4692" xr:uid="{00000000-0005-0000-0000-0000F80F0000}"/>
    <cellStyle name="Normal 2 4 3 3 2 8 2" xfId="13134" xr:uid="{D2C2F926-A8C3-4D08-8E2F-2AAC3AECC63E}"/>
    <cellStyle name="Normal 2 4 3 3 2 9" xfId="8916" xr:uid="{CB864D89-BFAE-4873-AA31-4B0C14400F82}"/>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24C1268C-2D11-4F6E-A385-CF26CFFBC2F0}"/>
    <cellStyle name="Normal 2 4 3 3 3 2 2 3" xfId="11477" xr:uid="{4FD65E66-3F28-42E2-93A8-92A7A04A0496}"/>
    <cellStyle name="Normal 2 4 3 3 3 2 3" xfId="5108" xr:uid="{00000000-0005-0000-0000-0000FD0F0000}"/>
    <cellStyle name="Normal 2 4 3 3 3 2 3 2" xfId="13550" xr:uid="{AF35796F-CF08-4F43-9B25-E1916033A652}"/>
    <cellStyle name="Normal 2 4 3 3 3 2 4" xfId="9332" xr:uid="{172C156C-D500-4083-89BE-04ECE585396D}"/>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AEF9D1C8-6FA6-4816-9FEE-9B3165BBD0E3}"/>
    <cellStyle name="Normal 2 4 3 3 3 3 2 3" xfId="11890" xr:uid="{DA94180C-3D69-4532-95B6-022495D8A59D}"/>
    <cellStyle name="Normal 2 4 3 3 3 3 3" xfId="5521" xr:uid="{00000000-0005-0000-0000-000001100000}"/>
    <cellStyle name="Normal 2 4 3 3 3 3 3 2" xfId="13963" xr:uid="{8BA10211-6CD5-4C3F-9B14-CF6D97600788}"/>
    <cellStyle name="Normal 2 4 3 3 3 3 4" xfId="9745" xr:uid="{7E04B9A7-D14E-4974-9D7D-A939B306436E}"/>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A4DF9EEE-AF49-40C2-9337-0EB214073E3F}"/>
    <cellStyle name="Normal 2 4 3 3 3 4 2 3" xfId="12303" xr:uid="{6A22B63D-35ED-4D2C-AFB7-F6E3C68C142F}"/>
    <cellStyle name="Normal 2 4 3 3 3 4 3" xfId="5934" xr:uid="{00000000-0005-0000-0000-000005100000}"/>
    <cellStyle name="Normal 2 4 3 3 3 4 3 2" xfId="14376" xr:uid="{30E300BE-4C2A-4363-8EAE-4DF0712CC847}"/>
    <cellStyle name="Normal 2 4 3 3 3 4 4" xfId="10158" xr:uid="{8F5350AE-57FC-4AC6-9189-46E29478F035}"/>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3B8CC375-5674-4629-864D-120333B15890}"/>
    <cellStyle name="Normal 2 4 3 3 3 5 2 3" xfId="12716" xr:uid="{EF0BD4A7-7E5A-4AF4-B3DE-C4ABDEBD7DC8}"/>
    <cellStyle name="Normal 2 4 3 3 3 5 3" xfId="6347" xr:uid="{00000000-0005-0000-0000-000009100000}"/>
    <cellStyle name="Normal 2 4 3 3 3 5 3 2" xfId="14789" xr:uid="{9BE9F8B5-7C6D-425F-993F-3767D31D22F6}"/>
    <cellStyle name="Normal 2 4 3 3 3 5 4" xfId="10571" xr:uid="{62AE3D96-B103-4762-AC46-F814C87BF1F5}"/>
    <cellStyle name="Normal 2 4 3 3 3 6" xfId="2476" xr:uid="{00000000-0005-0000-0000-00000A100000}"/>
    <cellStyle name="Normal 2 4 3 3 3 6 2" xfId="6760" xr:uid="{00000000-0005-0000-0000-00000B100000}"/>
    <cellStyle name="Normal 2 4 3 3 3 6 2 2" xfId="15202" xr:uid="{73CEC8A1-BDC8-49B8-96EE-2A8125136A5F}"/>
    <cellStyle name="Normal 2 4 3 3 3 6 3" xfId="10984" xr:uid="{644953A5-33A6-467D-8750-66A69FDE0DA6}"/>
    <cellStyle name="Normal 2 4 3 3 3 7" xfId="4694" xr:uid="{00000000-0005-0000-0000-00000C100000}"/>
    <cellStyle name="Normal 2 4 3 3 3 7 2" xfId="13136" xr:uid="{1161824F-3E49-43CD-926C-E6454C211BE5}"/>
    <cellStyle name="Normal 2 4 3 3 3 8" xfId="8918" xr:uid="{4A69351F-8F8C-496F-BD6B-E309B6E7420A}"/>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E2BEEEEF-4564-4B39-B2FE-D302EA31D8BE}"/>
    <cellStyle name="Normal 2 4 3 3 4 2 3" xfId="11474" xr:uid="{57B069B7-689A-4EDB-8563-CD5A382E3A9C}"/>
    <cellStyle name="Normal 2 4 3 3 4 3" xfId="5105" xr:uid="{00000000-0005-0000-0000-000010100000}"/>
    <cellStyle name="Normal 2 4 3 3 4 3 2" xfId="13547" xr:uid="{B8FF0893-393D-4963-AF43-2CCB87EB4189}"/>
    <cellStyle name="Normal 2 4 3 3 4 4" xfId="9329" xr:uid="{734436E8-96FE-40B1-A1F4-958C6EC63255}"/>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76D3724C-FE3D-4565-B2FE-581006C30646}"/>
    <cellStyle name="Normal 2 4 3 3 5 2 3" xfId="11887" xr:uid="{DBDED02D-76B8-4D38-B3DD-4F170D38EB6F}"/>
    <cellStyle name="Normal 2 4 3 3 5 3" xfId="5518" xr:uid="{00000000-0005-0000-0000-000014100000}"/>
    <cellStyle name="Normal 2 4 3 3 5 3 2" xfId="13960" xr:uid="{5FD8AB72-A9EB-4F6D-B47E-E4658112407A}"/>
    <cellStyle name="Normal 2 4 3 3 5 4" xfId="9742" xr:uid="{64E2469B-7EE4-403A-B8D1-36C1746495F0}"/>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30173A08-CCF7-47E6-9CC2-BCF77B503FF3}"/>
    <cellStyle name="Normal 2 4 3 3 6 2 3" xfId="12300" xr:uid="{0B2F6C0F-79FD-483D-86AA-A161133DF68F}"/>
    <cellStyle name="Normal 2 4 3 3 6 3" xfId="5931" xr:uid="{00000000-0005-0000-0000-000018100000}"/>
    <cellStyle name="Normal 2 4 3 3 6 3 2" xfId="14373" xr:uid="{E3BB287F-6CED-4D11-8FB8-85649ED6479D}"/>
    <cellStyle name="Normal 2 4 3 3 6 4" xfId="10155" xr:uid="{AD3328AB-6048-4A8B-B203-034ABB819830}"/>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1E917097-A21F-4979-8120-705F2285AC63}"/>
    <cellStyle name="Normal 2 4 3 3 7 2 3" xfId="12713" xr:uid="{06F742CD-6DDE-4972-84B7-AAF50E0373E4}"/>
    <cellStyle name="Normal 2 4 3 3 7 3" xfId="6344" xr:uid="{00000000-0005-0000-0000-00001C100000}"/>
    <cellStyle name="Normal 2 4 3 3 7 3 2" xfId="14786" xr:uid="{5C276706-45C7-40BE-B1B4-F3909390271F}"/>
    <cellStyle name="Normal 2 4 3 3 7 4" xfId="10568" xr:uid="{631CC2BA-C3E4-4720-9A6A-444900049839}"/>
    <cellStyle name="Normal 2 4 3 3 8" xfId="2473" xr:uid="{00000000-0005-0000-0000-00001D100000}"/>
    <cellStyle name="Normal 2 4 3 3 8 2" xfId="6757" xr:uid="{00000000-0005-0000-0000-00001E100000}"/>
    <cellStyle name="Normal 2 4 3 3 8 2 2" xfId="15199" xr:uid="{8BB1BA0C-2797-41C8-9201-DF2BFF239A49}"/>
    <cellStyle name="Normal 2 4 3 3 8 3" xfId="10981" xr:uid="{C4A903C8-A95C-468E-A82A-32D924FD9393}"/>
    <cellStyle name="Normal 2 4 3 3 9" xfId="4691" xr:uid="{00000000-0005-0000-0000-00001F100000}"/>
    <cellStyle name="Normal 2 4 3 3 9 2" xfId="13133" xr:uid="{9A6BEF8B-83B7-4521-B0CE-9DE0BE8C3483}"/>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456831F3-433B-4321-8F4C-787CF9EEDB00}"/>
    <cellStyle name="Normal 2 4 3 4 2 3" xfId="11473" xr:uid="{29AB8A1A-8A8D-41F2-A295-A577F9B341CE}"/>
    <cellStyle name="Normal 2 4 3 4 3" xfId="5104" xr:uid="{00000000-0005-0000-0000-000023100000}"/>
    <cellStyle name="Normal 2 4 3 4 3 2" xfId="13546" xr:uid="{B2D1C8B0-5476-498B-B1FD-BBE9243603DD}"/>
    <cellStyle name="Normal 2 4 3 4 4" xfId="9328" xr:uid="{44ECF921-7E49-48FC-B851-2396528F2E0B}"/>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EA367AF2-9166-4A78-B3BA-EF76DA5C8DEE}"/>
    <cellStyle name="Normal 2 4 3 5 2 3" xfId="11886" xr:uid="{28C928B9-6A7E-4D3B-A826-288DDE344E00}"/>
    <cellStyle name="Normal 2 4 3 5 3" xfId="5517" xr:uid="{00000000-0005-0000-0000-000027100000}"/>
    <cellStyle name="Normal 2 4 3 5 3 2" xfId="13959" xr:uid="{88DBC709-B67C-4525-9507-8580F04FA347}"/>
    <cellStyle name="Normal 2 4 3 5 4" xfId="9741" xr:uid="{11AAA698-2F64-4E95-BB45-36C92474332E}"/>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5D9EC1E5-9EA0-4FE4-8879-0ACE5C3BDDEC}"/>
    <cellStyle name="Normal 2 4 3 6 2 3" xfId="12299" xr:uid="{01850122-F5A0-40C5-8473-C37E6376FC80}"/>
    <cellStyle name="Normal 2 4 3 6 3" xfId="5930" xr:uid="{00000000-0005-0000-0000-00002B100000}"/>
    <cellStyle name="Normal 2 4 3 6 3 2" xfId="14372" xr:uid="{4219AC46-DB62-49B5-B8A2-CC5705BD22AF}"/>
    <cellStyle name="Normal 2 4 3 6 4" xfId="10154" xr:uid="{8142BD00-D327-42FE-8674-37947644BCF4}"/>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9FEC353B-9E70-48B8-A5F0-837427E141A8}"/>
    <cellStyle name="Normal 2 4 3 7 2 3" xfId="12712" xr:uid="{1A1B88AC-AD0F-483E-BD47-AEBEBB016D95}"/>
    <cellStyle name="Normal 2 4 3 7 3" xfId="6343" xr:uid="{00000000-0005-0000-0000-00002F100000}"/>
    <cellStyle name="Normal 2 4 3 7 3 2" xfId="14785" xr:uid="{89FBB595-77EE-4BF7-B810-C64A4164227A}"/>
    <cellStyle name="Normal 2 4 3 7 4" xfId="10567" xr:uid="{D0F34063-6698-44BC-A96E-B6D2A206A929}"/>
    <cellStyle name="Normal 2 4 3 8" xfId="2472" xr:uid="{00000000-0005-0000-0000-000030100000}"/>
    <cellStyle name="Normal 2 4 3 8 2" xfId="6756" xr:uid="{00000000-0005-0000-0000-000031100000}"/>
    <cellStyle name="Normal 2 4 3 8 2 2" xfId="15198" xr:uid="{D67C2D06-0C9B-4C79-8F38-37993315C38C}"/>
    <cellStyle name="Normal 2 4 3 8 3" xfId="10980" xr:uid="{03A98F1D-4FE1-463F-BB71-7D3692E4C587}"/>
    <cellStyle name="Normal 2 4 3 9" xfId="4690" xr:uid="{00000000-0005-0000-0000-000032100000}"/>
    <cellStyle name="Normal 2 4 3 9 2" xfId="13132" xr:uid="{0750FBCE-E001-49C8-B1A7-AFCBE53B923E}"/>
    <cellStyle name="Normal 2 4 4" xfId="302" xr:uid="{00000000-0005-0000-0000-000033100000}"/>
    <cellStyle name="Normal 2 4 5" xfId="303" xr:uid="{00000000-0005-0000-0000-000034100000}"/>
    <cellStyle name="Normal 2 4 5 10" xfId="4695" xr:uid="{00000000-0005-0000-0000-000035100000}"/>
    <cellStyle name="Normal 2 4 5 10 2" xfId="13137" xr:uid="{D2832240-F936-4E05-A4AE-E856BB6ED64B}"/>
    <cellStyle name="Normal 2 4 5 11" xfId="8919" xr:uid="{EF232BAC-5EA9-4027-B4C9-E65AA670AB9D}"/>
    <cellStyle name="Normal 2 4 5 2" xfId="304" xr:uid="{00000000-0005-0000-0000-000036100000}"/>
    <cellStyle name="Normal 2 4 5 2 10" xfId="8920" xr:uid="{C1B5868C-48FE-4958-A992-4B7A605C4A41}"/>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AA94CA70-5533-463D-B0EA-0C99C6AC69EB}"/>
    <cellStyle name="Normal 2 4 5 2 2 2 2 2 3" xfId="11481" xr:uid="{8D8EB375-B082-4B41-95B2-2A673281716E}"/>
    <cellStyle name="Normal 2 4 5 2 2 2 2 3" xfId="5112" xr:uid="{00000000-0005-0000-0000-00003C100000}"/>
    <cellStyle name="Normal 2 4 5 2 2 2 2 3 2" xfId="13554" xr:uid="{F6101241-A83E-4706-BD42-5A751E2AF9DD}"/>
    <cellStyle name="Normal 2 4 5 2 2 2 2 4" xfId="9336" xr:uid="{EA3D6F94-3489-49C0-B007-D81FEF612A47}"/>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86403FFB-2EE1-429F-ACD9-ACE32DCD2DCF}"/>
    <cellStyle name="Normal 2 4 5 2 2 2 3 2 3" xfId="11894" xr:uid="{6D59F548-53B9-4AE7-A566-17E8C1068138}"/>
    <cellStyle name="Normal 2 4 5 2 2 2 3 3" xfId="5525" xr:uid="{00000000-0005-0000-0000-000040100000}"/>
    <cellStyle name="Normal 2 4 5 2 2 2 3 3 2" xfId="13967" xr:uid="{EB84A267-2304-4FE4-B2CE-53EED1C32330}"/>
    <cellStyle name="Normal 2 4 5 2 2 2 3 4" xfId="9749" xr:uid="{30490756-D854-45BC-AB82-863FC6AB8D15}"/>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99509165-F2DE-41DB-87CE-388538E0C638}"/>
    <cellStyle name="Normal 2 4 5 2 2 2 4 2 3" xfId="12307" xr:uid="{15A69C66-6562-46C1-89F4-E71A1B78BA81}"/>
    <cellStyle name="Normal 2 4 5 2 2 2 4 3" xfId="5938" xr:uid="{00000000-0005-0000-0000-000044100000}"/>
    <cellStyle name="Normal 2 4 5 2 2 2 4 3 2" xfId="14380" xr:uid="{E6050039-1ADA-4255-8E49-68BCE2128910}"/>
    <cellStyle name="Normal 2 4 5 2 2 2 4 4" xfId="10162" xr:uid="{12F8537A-E1F2-4681-B364-7D76B6DA36C5}"/>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504A6934-AC8C-423B-87CE-2088480F08EE}"/>
    <cellStyle name="Normal 2 4 5 2 2 2 5 2 3" xfId="12720" xr:uid="{E69AF125-6140-4341-B104-84C5D0B7738E}"/>
    <cellStyle name="Normal 2 4 5 2 2 2 5 3" xfId="6351" xr:uid="{00000000-0005-0000-0000-000048100000}"/>
    <cellStyle name="Normal 2 4 5 2 2 2 5 3 2" xfId="14793" xr:uid="{B11CCC37-DB45-4024-B235-42F21C8DDF4A}"/>
    <cellStyle name="Normal 2 4 5 2 2 2 5 4" xfId="10575" xr:uid="{2316831C-2A67-4BC3-9139-8F249E75B2A8}"/>
    <cellStyle name="Normal 2 4 5 2 2 2 6" xfId="2480" xr:uid="{00000000-0005-0000-0000-000049100000}"/>
    <cellStyle name="Normal 2 4 5 2 2 2 6 2" xfId="6764" xr:uid="{00000000-0005-0000-0000-00004A100000}"/>
    <cellStyle name="Normal 2 4 5 2 2 2 6 2 2" xfId="15206" xr:uid="{1354AFE5-4768-48AF-B375-DE7A5DAE2E30}"/>
    <cellStyle name="Normal 2 4 5 2 2 2 6 3" xfId="10988" xr:uid="{A2DAEAEE-E979-4FF4-A416-7A0973CE5ED2}"/>
    <cellStyle name="Normal 2 4 5 2 2 2 7" xfId="4698" xr:uid="{00000000-0005-0000-0000-00004B100000}"/>
    <cellStyle name="Normal 2 4 5 2 2 2 7 2" xfId="13140" xr:uid="{8C2AFD92-C069-4A32-8333-08218D2FF003}"/>
    <cellStyle name="Normal 2 4 5 2 2 2 8" xfId="8922" xr:uid="{31A87F01-1159-4BE5-A4E2-1262A5E7542F}"/>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C5FEB0D3-E4AE-41EF-9133-60276A2734B9}"/>
    <cellStyle name="Normal 2 4 5 2 2 3 2 3" xfId="11480" xr:uid="{17779A3D-9D1E-441C-A3AF-913EB1AA660A}"/>
    <cellStyle name="Normal 2 4 5 2 2 3 3" xfId="5111" xr:uid="{00000000-0005-0000-0000-00004F100000}"/>
    <cellStyle name="Normal 2 4 5 2 2 3 3 2" xfId="13553" xr:uid="{5D920F1E-24CF-4D95-9D70-A23B14086785}"/>
    <cellStyle name="Normal 2 4 5 2 2 3 4" xfId="9335" xr:uid="{E016DCA7-7ED7-41B2-A24A-8C415713FA79}"/>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3BFB6F7F-0121-40FC-B922-B888E142910D}"/>
    <cellStyle name="Normal 2 4 5 2 2 4 2 3" xfId="11893" xr:uid="{BDEE85BD-6806-4319-99BD-AE979576D95D}"/>
    <cellStyle name="Normal 2 4 5 2 2 4 3" xfId="5524" xr:uid="{00000000-0005-0000-0000-000053100000}"/>
    <cellStyle name="Normal 2 4 5 2 2 4 3 2" xfId="13966" xr:uid="{72D5A905-D6F8-463B-BCB4-1701CF67711A}"/>
    <cellStyle name="Normal 2 4 5 2 2 4 4" xfId="9748" xr:uid="{A9D191B1-1080-4020-806C-AE11DC36AF13}"/>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F83D7A10-6BA9-4C94-B879-65A7FB2A38E9}"/>
    <cellStyle name="Normal 2 4 5 2 2 5 2 3" xfId="12306" xr:uid="{CD8A8237-0BFF-4FD1-80FE-F7CB2FD03CBB}"/>
    <cellStyle name="Normal 2 4 5 2 2 5 3" xfId="5937" xr:uid="{00000000-0005-0000-0000-000057100000}"/>
    <cellStyle name="Normal 2 4 5 2 2 5 3 2" xfId="14379" xr:uid="{AC579E1D-0B02-4BAA-B0DB-94601A2FA33F}"/>
    <cellStyle name="Normal 2 4 5 2 2 5 4" xfId="10161" xr:uid="{CF95EE59-AA45-4809-AE51-17EF6E72B1B9}"/>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E0853B6E-74DA-4C79-9E42-14FECA7FE208}"/>
    <cellStyle name="Normal 2 4 5 2 2 6 2 3" xfId="12719" xr:uid="{07BEC912-A582-48B4-ADC7-104C3832AB4D}"/>
    <cellStyle name="Normal 2 4 5 2 2 6 3" xfId="6350" xr:uid="{00000000-0005-0000-0000-00005B100000}"/>
    <cellStyle name="Normal 2 4 5 2 2 6 3 2" xfId="14792" xr:uid="{C57CA71E-14E1-4065-A3E8-8797F4C2972D}"/>
    <cellStyle name="Normal 2 4 5 2 2 6 4" xfId="10574" xr:uid="{0CE42518-EC81-4909-985A-334A634EBB47}"/>
    <cellStyle name="Normal 2 4 5 2 2 7" xfId="2479" xr:uid="{00000000-0005-0000-0000-00005C100000}"/>
    <cellStyle name="Normal 2 4 5 2 2 7 2" xfId="6763" xr:uid="{00000000-0005-0000-0000-00005D100000}"/>
    <cellStyle name="Normal 2 4 5 2 2 7 2 2" xfId="15205" xr:uid="{2838A11C-C23A-4F3D-A221-5701DC55C2BF}"/>
    <cellStyle name="Normal 2 4 5 2 2 7 3" xfId="10987" xr:uid="{EC0A5F0A-5D1F-4BB3-BFFA-4567BB1C8082}"/>
    <cellStyle name="Normal 2 4 5 2 2 8" xfId="4697" xr:uid="{00000000-0005-0000-0000-00005E100000}"/>
    <cellStyle name="Normal 2 4 5 2 2 8 2" xfId="13139" xr:uid="{5F42CB45-4FB6-4ABC-9638-EDEE5AF39409}"/>
    <cellStyle name="Normal 2 4 5 2 2 9" xfId="8921" xr:uid="{9784B085-7609-400B-91EC-E9137E26C786}"/>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D3A03CE1-D9B1-4436-807F-EB9F05A134E6}"/>
    <cellStyle name="Normal 2 4 5 2 3 2 2 3" xfId="11482" xr:uid="{F102ED81-EF30-416D-BC3F-0C01B12A9579}"/>
    <cellStyle name="Normal 2 4 5 2 3 2 3" xfId="5113" xr:uid="{00000000-0005-0000-0000-000063100000}"/>
    <cellStyle name="Normal 2 4 5 2 3 2 3 2" xfId="13555" xr:uid="{ACAE1785-6184-40C7-B3FC-26830299BECC}"/>
    <cellStyle name="Normal 2 4 5 2 3 2 4" xfId="9337" xr:uid="{825DDCD4-84F5-4E41-9FEF-7B06D8CE49A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63EBB077-3817-461B-94C8-663D3AE61073}"/>
    <cellStyle name="Normal 2 4 5 2 3 3 2 3" xfId="11895" xr:uid="{BDD31435-8CD7-4550-B03A-69594BEEBF5B}"/>
    <cellStyle name="Normal 2 4 5 2 3 3 3" xfId="5526" xr:uid="{00000000-0005-0000-0000-000067100000}"/>
    <cellStyle name="Normal 2 4 5 2 3 3 3 2" xfId="13968" xr:uid="{DC4BF19E-4E02-4426-8F09-3766D01D1228}"/>
    <cellStyle name="Normal 2 4 5 2 3 3 4" xfId="9750" xr:uid="{61A07FBA-FDA2-420D-91E5-D4B79296578B}"/>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DC4FB84E-D9F3-47B7-B14B-481A6DEDB927}"/>
    <cellStyle name="Normal 2 4 5 2 3 4 2 3" xfId="12308" xr:uid="{6954BF4F-271D-4BFD-AAE6-176E33274D14}"/>
    <cellStyle name="Normal 2 4 5 2 3 4 3" xfId="5939" xr:uid="{00000000-0005-0000-0000-00006B100000}"/>
    <cellStyle name="Normal 2 4 5 2 3 4 3 2" xfId="14381" xr:uid="{283C0EBE-C0DD-4689-9E14-EB3E103AF7B9}"/>
    <cellStyle name="Normal 2 4 5 2 3 4 4" xfId="10163" xr:uid="{F52B9FD4-F483-49BC-AEF6-56896682D734}"/>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8D73E87E-3DD2-4702-81D5-9B217E260D78}"/>
    <cellStyle name="Normal 2 4 5 2 3 5 2 3" xfId="12721" xr:uid="{3D39462C-77A6-4DE6-9529-699088CE146C}"/>
    <cellStyle name="Normal 2 4 5 2 3 5 3" xfId="6352" xr:uid="{00000000-0005-0000-0000-00006F100000}"/>
    <cellStyle name="Normal 2 4 5 2 3 5 3 2" xfId="14794" xr:uid="{9BD4C300-F48C-4128-AA74-F602A06AF345}"/>
    <cellStyle name="Normal 2 4 5 2 3 5 4" xfId="10576" xr:uid="{46991363-E666-469D-B881-A7CA4989681C}"/>
    <cellStyle name="Normal 2 4 5 2 3 6" xfId="2481" xr:uid="{00000000-0005-0000-0000-000070100000}"/>
    <cellStyle name="Normal 2 4 5 2 3 6 2" xfId="6765" xr:uid="{00000000-0005-0000-0000-000071100000}"/>
    <cellStyle name="Normal 2 4 5 2 3 6 2 2" xfId="15207" xr:uid="{B960FF58-27A0-4B83-88A0-7A4624F91C52}"/>
    <cellStyle name="Normal 2 4 5 2 3 6 3" xfId="10989" xr:uid="{C41E74E2-78D9-4098-AE8F-B5EBE2F7EEF9}"/>
    <cellStyle name="Normal 2 4 5 2 3 7" xfId="4699" xr:uid="{00000000-0005-0000-0000-000072100000}"/>
    <cellStyle name="Normal 2 4 5 2 3 7 2" xfId="13141" xr:uid="{71B61706-3AA8-4525-8787-A39F99B0DADD}"/>
    <cellStyle name="Normal 2 4 5 2 3 8" xfId="8923" xr:uid="{4926CBFD-9F03-49DD-AFA6-EB761EB2F2C7}"/>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A1C5992E-D269-4331-9EBC-296EFD22C9D6}"/>
    <cellStyle name="Normal 2 4 5 2 4 2 3" xfId="11479" xr:uid="{3D71105E-161F-49B7-9DB4-45327A23BFB4}"/>
    <cellStyle name="Normal 2 4 5 2 4 3" xfId="5110" xr:uid="{00000000-0005-0000-0000-000076100000}"/>
    <cellStyle name="Normal 2 4 5 2 4 3 2" xfId="13552" xr:uid="{3AA63B66-ECA3-4014-9DC7-F38C08A065AF}"/>
    <cellStyle name="Normal 2 4 5 2 4 4" xfId="9334" xr:uid="{3562F315-72B1-44FB-BB1F-58306211332C}"/>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59AC8BE3-AFCE-4A64-9573-C1D996F222E7}"/>
    <cellStyle name="Normal 2 4 5 2 5 2 3" xfId="11892" xr:uid="{BD2793EA-8C96-426D-948E-FA71CEBD40AE}"/>
    <cellStyle name="Normal 2 4 5 2 5 3" xfId="5523" xr:uid="{00000000-0005-0000-0000-00007A100000}"/>
    <cellStyle name="Normal 2 4 5 2 5 3 2" xfId="13965" xr:uid="{B161BF88-7454-4F0B-AF7E-CBE311652365}"/>
    <cellStyle name="Normal 2 4 5 2 5 4" xfId="9747" xr:uid="{8263BFE9-6783-4DFC-B345-74B3FE100F11}"/>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FC890D98-94C7-4AF2-A3C8-F4E277D3A3CB}"/>
    <cellStyle name="Normal 2 4 5 2 6 2 3" xfId="12305" xr:uid="{536FD1EE-55F8-4C71-8646-32B2025FCADF}"/>
    <cellStyle name="Normal 2 4 5 2 6 3" xfId="5936" xr:uid="{00000000-0005-0000-0000-00007E100000}"/>
    <cellStyle name="Normal 2 4 5 2 6 3 2" xfId="14378" xr:uid="{F88D4FC2-BFF1-44AC-8A59-33B5A2628C9D}"/>
    <cellStyle name="Normal 2 4 5 2 6 4" xfId="10160" xr:uid="{4248668D-491B-4BC1-BB33-3965E7C3E753}"/>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60531F3F-1CA6-4691-BA21-BFFB6F821269}"/>
    <cellStyle name="Normal 2 4 5 2 7 2 3" xfId="12718" xr:uid="{224EC98B-A126-4D55-B12E-1E3D4A9F815C}"/>
    <cellStyle name="Normal 2 4 5 2 7 3" xfId="6349" xr:uid="{00000000-0005-0000-0000-000082100000}"/>
    <cellStyle name="Normal 2 4 5 2 7 3 2" xfId="14791" xr:uid="{9B6F839A-406A-4DC9-9801-7F36C369EAF2}"/>
    <cellStyle name="Normal 2 4 5 2 7 4" xfId="10573" xr:uid="{F47B2075-37D7-4E0A-82DE-262294B29B8F}"/>
    <cellStyle name="Normal 2 4 5 2 8" xfId="2478" xr:uid="{00000000-0005-0000-0000-000083100000}"/>
    <cellStyle name="Normal 2 4 5 2 8 2" xfId="6762" xr:uid="{00000000-0005-0000-0000-000084100000}"/>
    <cellStyle name="Normal 2 4 5 2 8 2 2" xfId="15204" xr:uid="{798C22BF-1C25-43F4-82C4-AB1C873E3132}"/>
    <cellStyle name="Normal 2 4 5 2 8 3" xfId="10986" xr:uid="{1BBC8341-3EF5-4AA7-B7A2-12111C476374}"/>
    <cellStyle name="Normal 2 4 5 2 9" xfId="4696" xr:uid="{00000000-0005-0000-0000-000085100000}"/>
    <cellStyle name="Normal 2 4 5 2 9 2" xfId="13138" xr:uid="{A8E72B6E-8181-41DA-B73C-BFC6A60A38FD}"/>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2F90B911-296B-4BF8-9CB5-9E8B30D7B645}"/>
    <cellStyle name="Normal 2 4 5 3 2 2 2 3" xfId="11484" xr:uid="{A9C8EC72-3B14-4457-8454-16FAB7092F25}"/>
    <cellStyle name="Normal 2 4 5 3 2 2 3" xfId="5115" xr:uid="{00000000-0005-0000-0000-00008B100000}"/>
    <cellStyle name="Normal 2 4 5 3 2 2 3 2" xfId="13557" xr:uid="{E586DA35-A8AC-41AA-94E0-96BE929890E7}"/>
    <cellStyle name="Normal 2 4 5 3 2 2 4" xfId="9339" xr:uid="{752726CD-BCBA-42E4-88F5-8E7C949EE90C}"/>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15DA4617-BF71-46C6-873D-9C939C8198D7}"/>
    <cellStyle name="Normal 2 4 5 3 2 3 2 3" xfId="11897" xr:uid="{4F263D49-6B38-49D5-A59B-F6E9EE966745}"/>
    <cellStyle name="Normal 2 4 5 3 2 3 3" xfId="5528" xr:uid="{00000000-0005-0000-0000-00008F100000}"/>
    <cellStyle name="Normal 2 4 5 3 2 3 3 2" xfId="13970" xr:uid="{DC90A2EF-AFB7-44C9-B429-29AA9C13F53B}"/>
    <cellStyle name="Normal 2 4 5 3 2 3 4" xfId="9752" xr:uid="{3E82D57D-C790-40F8-BECE-7313BD4B80CA}"/>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A9F95A33-47B1-4606-9045-4025E3492209}"/>
    <cellStyle name="Normal 2 4 5 3 2 4 2 3" xfId="12310" xr:uid="{FB1B2F34-B149-4D9F-86F3-440A5147D939}"/>
    <cellStyle name="Normal 2 4 5 3 2 4 3" xfId="5941" xr:uid="{00000000-0005-0000-0000-000093100000}"/>
    <cellStyle name="Normal 2 4 5 3 2 4 3 2" xfId="14383" xr:uid="{E22A51D4-0705-4143-9921-8A2B8F93F671}"/>
    <cellStyle name="Normal 2 4 5 3 2 4 4" xfId="10165" xr:uid="{BF7B305F-E4AC-4768-B357-BDAFE0DDD7AD}"/>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3E864BEC-5B50-44F4-ADA1-EE2577F9A55C}"/>
    <cellStyle name="Normal 2 4 5 3 2 5 2 3" xfId="12723" xr:uid="{69707540-93E1-498C-85CC-05C7AB58BC61}"/>
    <cellStyle name="Normal 2 4 5 3 2 5 3" xfId="6354" xr:uid="{00000000-0005-0000-0000-000097100000}"/>
    <cellStyle name="Normal 2 4 5 3 2 5 3 2" xfId="14796" xr:uid="{F59E8A72-26C9-4A04-ADFE-74DF1F738BE1}"/>
    <cellStyle name="Normal 2 4 5 3 2 5 4" xfId="10578" xr:uid="{A745732F-82CD-4841-B89F-B70E1369CCD7}"/>
    <cellStyle name="Normal 2 4 5 3 2 6" xfId="2483" xr:uid="{00000000-0005-0000-0000-000098100000}"/>
    <cellStyle name="Normal 2 4 5 3 2 6 2" xfId="6767" xr:uid="{00000000-0005-0000-0000-000099100000}"/>
    <cellStyle name="Normal 2 4 5 3 2 6 2 2" xfId="15209" xr:uid="{9EDB4657-3E81-4C5B-A954-E6B0AC454934}"/>
    <cellStyle name="Normal 2 4 5 3 2 6 3" xfId="10991" xr:uid="{3CF76EB2-8CAC-447E-93BB-8CC7789FA8D8}"/>
    <cellStyle name="Normal 2 4 5 3 2 7" xfId="4701" xr:uid="{00000000-0005-0000-0000-00009A100000}"/>
    <cellStyle name="Normal 2 4 5 3 2 7 2" xfId="13143" xr:uid="{4ABD953D-DE16-47EC-B1EE-21C8D4D0FC5E}"/>
    <cellStyle name="Normal 2 4 5 3 2 8" xfId="8925" xr:uid="{EDFB17E4-3F6C-45CB-94EB-DFF442D312D2}"/>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70871497-7F4C-4803-AA7C-05B83037AD4B}"/>
    <cellStyle name="Normal 2 4 5 3 3 2 3" xfId="11483" xr:uid="{D34188D4-1F2F-4197-8A4F-09F11D4D3557}"/>
    <cellStyle name="Normal 2 4 5 3 3 3" xfId="5114" xr:uid="{00000000-0005-0000-0000-00009E100000}"/>
    <cellStyle name="Normal 2 4 5 3 3 3 2" xfId="13556" xr:uid="{E1264336-9003-425A-AD70-52E36EA55F9D}"/>
    <cellStyle name="Normal 2 4 5 3 3 4" xfId="9338" xr:uid="{5F3B8590-2A1A-45C4-9B91-2D9BAB1F5473}"/>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1DAE5A62-2F3C-42D7-9F30-BF9477B219AF}"/>
    <cellStyle name="Normal 2 4 5 3 4 2 3" xfId="11896" xr:uid="{A8399318-EEA0-4C77-8A83-5AA5378A1392}"/>
    <cellStyle name="Normal 2 4 5 3 4 3" xfId="5527" xr:uid="{00000000-0005-0000-0000-0000A2100000}"/>
    <cellStyle name="Normal 2 4 5 3 4 3 2" xfId="13969" xr:uid="{36133340-891A-452D-98BA-DF2C052AC8DC}"/>
    <cellStyle name="Normal 2 4 5 3 4 4" xfId="9751" xr:uid="{25CE20F0-B6BD-43D0-BD34-6EA0F19E6B9A}"/>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04DD8E50-54BC-440A-A141-C43CAED50411}"/>
    <cellStyle name="Normal 2 4 5 3 5 2 3" xfId="12309" xr:uid="{41ED0F6A-A568-4D60-A9FE-6F7C3B58DBF1}"/>
    <cellStyle name="Normal 2 4 5 3 5 3" xfId="5940" xr:uid="{00000000-0005-0000-0000-0000A6100000}"/>
    <cellStyle name="Normal 2 4 5 3 5 3 2" xfId="14382" xr:uid="{B4D6AEBB-1C09-4CE8-B499-FDB23E4D2479}"/>
    <cellStyle name="Normal 2 4 5 3 5 4" xfId="10164" xr:uid="{79FC543F-F33F-49D7-8875-430F6A31F56C}"/>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EAC6E368-E6B7-45B4-B1BD-69A51A4444BD}"/>
    <cellStyle name="Normal 2 4 5 3 6 2 3" xfId="12722" xr:uid="{55462867-6FF2-4D93-B6C5-820439CDF60F}"/>
    <cellStyle name="Normal 2 4 5 3 6 3" xfId="6353" xr:uid="{00000000-0005-0000-0000-0000AA100000}"/>
    <cellStyle name="Normal 2 4 5 3 6 3 2" xfId="14795" xr:uid="{70588F85-6717-4888-8E19-7BEE6A7D71B1}"/>
    <cellStyle name="Normal 2 4 5 3 6 4" xfId="10577" xr:uid="{B103030C-EE04-4A4D-9BB9-2EF692D465AB}"/>
    <cellStyle name="Normal 2 4 5 3 7" xfId="2482" xr:uid="{00000000-0005-0000-0000-0000AB100000}"/>
    <cellStyle name="Normal 2 4 5 3 7 2" xfId="6766" xr:uid="{00000000-0005-0000-0000-0000AC100000}"/>
    <cellStyle name="Normal 2 4 5 3 7 2 2" xfId="15208" xr:uid="{25A227EE-B8A5-4F44-86F6-6C1916A11722}"/>
    <cellStyle name="Normal 2 4 5 3 7 3" xfId="10990" xr:uid="{5EAE4040-C263-4999-987C-5F3D06E151A2}"/>
    <cellStyle name="Normal 2 4 5 3 8" xfId="4700" xr:uid="{00000000-0005-0000-0000-0000AD100000}"/>
    <cellStyle name="Normal 2 4 5 3 8 2" xfId="13142" xr:uid="{2DBB2B8D-5267-4397-B062-15CD5E143509}"/>
    <cellStyle name="Normal 2 4 5 3 9" xfId="8924" xr:uid="{7D0144B6-2A43-4862-82B9-0720E2A1ABD5}"/>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44EDC326-88DD-440F-9A19-525A7E261762}"/>
    <cellStyle name="Normal 2 4 5 4 2 2 3" xfId="11485" xr:uid="{B0C51F46-DD09-4410-B854-13CA663F8D7B}"/>
    <cellStyle name="Normal 2 4 5 4 2 3" xfId="5116" xr:uid="{00000000-0005-0000-0000-0000B2100000}"/>
    <cellStyle name="Normal 2 4 5 4 2 3 2" xfId="13558" xr:uid="{77CDF1F0-AACE-45D0-A176-AD6F06798652}"/>
    <cellStyle name="Normal 2 4 5 4 2 4" xfId="9340" xr:uid="{9687B88E-10D4-4804-97E5-AB862C0945B6}"/>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346BCDFB-5D9A-4F90-81CF-F0DD4145CA73}"/>
    <cellStyle name="Normal 2 4 5 4 3 2 3" xfId="11898" xr:uid="{ACA5C004-89BB-4575-AD88-9F7DDD7EA978}"/>
    <cellStyle name="Normal 2 4 5 4 3 3" xfId="5529" xr:uid="{00000000-0005-0000-0000-0000B6100000}"/>
    <cellStyle name="Normal 2 4 5 4 3 3 2" xfId="13971" xr:uid="{DB0D2C41-AA0B-4A90-A799-AD721D792528}"/>
    <cellStyle name="Normal 2 4 5 4 3 4" xfId="9753" xr:uid="{66ED0E86-5552-4B5D-888A-35AEB44CFAD7}"/>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EBF20D06-F071-4365-8833-63722293CA83}"/>
    <cellStyle name="Normal 2 4 5 4 4 2 3" xfId="12311" xr:uid="{4EC1DE65-C5D9-4F76-B56A-12730FF6A917}"/>
    <cellStyle name="Normal 2 4 5 4 4 3" xfId="5942" xr:uid="{00000000-0005-0000-0000-0000BA100000}"/>
    <cellStyle name="Normal 2 4 5 4 4 3 2" xfId="14384" xr:uid="{D16BE03D-B129-4D1F-AA1E-6A2E9E8109D3}"/>
    <cellStyle name="Normal 2 4 5 4 4 4" xfId="10166" xr:uid="{AB1C2E87-9F55-404F-A282-14668347E116}"/>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9FDEF59F-4F29-4AC5-A595-47231309C5AD}"/>
    <cellStyle name="Normal 2 4 5 4 5 2 3" xfId="12724" xr:uid="{D71E6AF4-D177-4EA2-81DC-39DBF2CEF9E6}"/>
    <cellStyle name="Normal 2 4 5 4 5 3" xfId="6355" xr:uid="{00000000-0005-0000-0000-0000BE100000}"/>
    <cellStyle name="Normal 2 4 5 4 5 3 2" xfId="14797" xr:uid="{C1A57D89-BD86-4804-A5C0-F91FA6663FF9}"/>
    <cellStyle name="Normal 2 4 5 4 5 4" xfId="10579" xr:uid="{75F25C17-A227-40B4-AB8F-A3CDB23B71E3}"/>
    <cellStyle name="Normal 2 4 5 4 6" xfId="2484" xr:uid="{00000000-0005-0000-0000-0000BF100000}"/>
    <cellStyle name="Normal 2 4 5 4 6 2" xfId="6768" xr:uid="{00000000-0005-0000-0000-0000C0100000}"/>
    <cellStyle name="Normal 2 4 5 4 6 2 2" xfId="15210" xr:uid="{B2B13A25-3893-48D1-B996-18F4F546B7EA}"/>
    <cellStyle name="Normal 2 4 5 4 6 3" xfId="10992" xr:uid="{C890F67C-AEAA-480A-BD5C-BB828DF3E814}"/>
    <cellStyle name="Normal 2 4 5 4 7" xfId="4702" xr:uid="{00000000-0005-0000-0000-0000C1100000}"/>
    <cellStyle name="Normal 2 4 5 4 7 2" xfId="13144" xr:uid="{A3641461-1F29-4030-A58D-9749B2E776CC}"/>
    <cellStyle name="Normal 2 4 5 4 8" xfId="8926" xr:uid="{AC34550A-32FA-4367-BEE6-15950D08E7CC}"/>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3F61A527-6694-4BCD-AA59-F530C6B47E95}"/>
    <cellStyle name="Normal 2 4 5 5 2 3" xfId="11478" xr:uid="{C2144175-9338-491C-B046-31B82DA68536}"/>
    <cellStyle name="Normal 2 4 5 5 3" xfId="5109" xr:uid="{00000000-0005-0000-0000-0000C5100000}"/>
    <cellStyle name="Normal 2 4 5 5 3 2" xfId="13551" xr:uid="{9B95BAEF-A22E-461A-A71E-188D4003F603}"/>
    <cellStyle name="Normal 2 4 5 5 4" xfId="9333" xr:uid="{EF08638F-0DD8-43A1-BE7A-F475012D399C}"/>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5F5EC060-F12F-455D-88F4-56A6B3295E34}"/>
    <cellStyle name="Normal 2 4 5 6 2 3" xfId="11891" xr:uid="{A7A2846E-F163-4A0F-89BE-1D04B10FFDF6}"/>
    <cellStyle name="Normal 2 4 5 6 3" xfId="5522" xr:uid="{00000000-0005-0000-0000-0000C9100000}"/>
    <cellStyle name="Normal 2 4 5 6 3 2" xfId="13964" xr:uid="{764B150C-6433-4645-A471-655DBFA6845E}"/>
    <cellStyle name="Normal 2 4 5 6 4" xfId="9746" xr:uid="{CBD00981-68B7-4BB6-9793-2B8F28042928}"/>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A1FC4CE9-94D2-4E43-9D04-CA3A28AB16A1}"/>
    <cellStyle name="Normal 2 4 5 7 2 3" xfId="12304" xr:uid="{C90A678D-F3CD-474F-A12E-FE2C8909A203}"/>
    <cellStyle name="Normal 2 4 5 7 3" xfId="5935" xr:uid="{00000000-0005-0000-0000-0000CD100000}"/>
    <cellStyle name="Normal 2 4 5 7 3 2" xfId="14377" xr:uid="{2D88424B-B8BD-401E-A8DF-49FFD11A07C7}"/>
    <cellStyle name="Normal 2 4 5 7 4" xfId="10159" xr:uid="{0A57D41F-6173-4591-A072-961DF02186C6}"/>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E4911CDF-D075-4C30-B0AE-3D8404C33F6C}"/>
    <cellStyle name="Normal 2 4 5 8 2 3" xfId="12717" xr:uid="{B5E3E8FA-0A47-4D36-ADCE-D30D4587F279}"/>
    <cellStyle name="Normal 2 4 5 8 3" xfId="6348" xr:uid="{00000000-0005-0000-0000-0000D1100000}"/>
    <cellStyle name="Normal 2 4 5 8 3 2" xfId="14790" xr:uid="{49DB66A4-45E8-4E14-ABC7-8EF97E880603}"/>
    <cellStyle name="Normal 2 4 5 8 4" xfId="10572" xr:uid="{36D475D6-293E-40B9-9232-95636EB0EDA7}"/>
    <cellStyle name="Normal 2 4 5 9" xfId="2477" xr:uid="{00000000-0005-0000-0000-0000D2100000}"/>
    <cellStyle name="Normal 2 4 5 9 2" xfId="6761" xr:uid="{00000000-0005-0000-0000-0000D3100000}"/>
    <cellStyle name="Normal 2 4 5 9 2 2" xfId="15203" xr:uid="{812398ED-7BF8-4278-ABDF-E652D06BDC46}"/>
    <cellStyle name="Normal 2 4 5 9 3" xfId="10985" xr:uid="{9C3ACF03-DFF0-4BBC-8BEB-EE848A1C4B9C}"/>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20F45287-677E-46D0-8C05-68200F1A4060}"/>
    <cellStyle name="Normal 2 4 7 2 2 2 3" xfId="11487" xr:uid="{C6EDBC9B-0C39-4A77-BBE8-5DBE4F504737}"/>
    <cellStyle name="Normal 2 4 7 2 2 3" xfId="5118" xr:uid="{00000000-0005-0000-0000-0000DA100000}"/>
    <cellStyle name="Normal 2 4 7 2 2 3 2" xfId="13560" xr:uid="{27A05747-C64B-4247-A484-45E1A8545164}"/>
    <cellStyle name="Normal 2 4 7 2 2 4" xfId="9342" xr:uid="{3AEBDCBB-01AD-49F6-8D43-908DB7BD5317}"/>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7FB43C9F-CCEA-4639-9103-5D5601168502}"/>
    <cellStyle name="Normal 2 4 7 2 3 2 3" xfId="11900" xr:uid="{ECCCBA82-6F21-4017-A9F8-276588F63C3F}"/>
    <cellStyle name="Normal 2 4 7 2 3 3" xfId="5531" xr:uid="{00000000-0005-0000-0000-0000DE100000}"/>
    <cellStyle name="Normal 2 4 7 2 3 3 2" xfId="13973" xr:uid="{9CE94A9C-24B2-4977-AE24-04FB1C8AC3AD}"/>
    <cellStyle name="Normal 2 4 7 2 3 4" xfId="9755" xr:uid="{CA4962EA-52AE-4C3B-94BC-042D87DBDAA5}"/>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51C4A882-218E-4060-B35B-1B36973E1D4A}"/>
    <cellStyle name="Normal 2 4 7 2 4 2 3" xfId="12313" xr:uid="{12027A39-6D26-4554-8726-5402E6A575D8}"/>
    <cellStyle name="Normal 2 4 7 2 4 3" xfId="5944" xr:uid="{00000000-0005-0000-0000-0000E2100000}"/>
    <cellStyle name="Normal 2 4 7 2 4 3 2" xfId="14386" xr:uid="{EDC336A6-DD3F-4ACD-AC48-D4601A208E74}"/>
    <cellStyle name="Normal 2 4 7 2 4 4" xfId="10168" xr:uid="{1C3E971E-9CA4-4983-BA59-7620ECFF0455}"/>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228DC0B0-66F8-4FBC-8E64-66D8504B64CF}"/>
    <cellStyle name="Normal 2 4 7 2 5 2 3" xfId="12726" xr:uid="{313BE015-94E9-45B7-9067-EE0C7ADD2D60}"/>
    <cellStyle name="Normal 2 4 7 2 5 3" xfId="6357" xr:uid="{00000000-0005-0000-0000-0000E6100000}"/>
    <cellStyle name="Normal 2 4 7 2 5 3 2" xfId="14799" xr:uid="{462DF167-AB6B-4F9B-BA42-0361AFAF30E9}"/>
    <cellStyle name="Normal 2 4 7 2 5 4" xfId="10581" xr:uid="{146D7E65-BA5A-406E-8C08-C6AE7EC20E23}"/>
    <cellStyle name="Normal 2 4 7 2 6" xfId="2486" xr:uid="{00000000-0005-0000-0000-0000E7100000}"/>
    <cellStyle name="Normal 2 4 7 2 6 2" xfId="6770" xr:uid="{00000000-0005-0000-0000-0000E8100000}"/>
    <cellStyle name="Normal 2 4 7 2 6 2 2" xfId="15212" xr:uid="{FFDCB5DC-BCFB-4E33-A719-2A983E3E8EFC}"/>
    <cellStyle name="Normal 2 4 7 2 6 3" xfId="10994" xr:uid="{6FDED990-C883-4841-8B66-F3EDD2920CF7}"/>
    <cellStyle name="Normal 2 4 7 2 7" xfId="4704" xr:uid="{00000000-0005-0000-0000-0000E9100000}"/>
    <cellStyle name="Normal 2 4 7 2 7 2" xfId="13146" xr:uid="{4B624098-1FBC-4C8D-AFB6-B14A603BA3B2}"/>
    <cellStyle name="Normal 2 4 7 2 8" xfId="8928" xr:uid="{3E6B5188-357B-4F2B-884B-C684266E494F}"/>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EEDAFF79-0E72-4792-8008-100E0B4DE8A1}"/>
    <cellStyle name="Normal 2 4 7 3 2 3" xfId="11486" xr:uid="{9FFB4A3E-0BC4-4A89-B18E-8EFC2FC77F48}"/>
    <cellStyle name="Normal 2 4 7 3 3" xfId="5117" xr:uid="{00000000-0005-0000-0000-0000ED100000}"/>
    <cellStyle name="Normal 2 4 7 3 3 2" xfId="13559" xr:uid="{B08635C2-5538-4142-A936-2B478E9DB966}"/>
    <cellStyle name="Normal 2 4 7 3 4" xfId="9341" xr:uid="{008C580C-CC3E-4D2F-BC44-C6FA480C6480}"/>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70A207FE-6BA0-4C00-B60F-39085D60CB58}"/>
    <cellStyle name="Normal 2 4 7 4 2 3" xfId="11899" xr:uid="{57F7C8F8-8862-4454-8667-3F699E198C49}"/>
    <cellStyle name="Normal 2 4 7 4 3" xfId="5530" xr:uid="{00000000-0005-0000-0000-0000F1100000}"/>
    <cellStyle name="Normal 2 4 7 4 3 2" xfId="13972" xr:uid="{F69EAF66-8877-4C96-A714-64ACA6D99C80}"/>
    <cellStyle name="Normal 2 4 7 4 4" xfId="9754" xr:uid="{61093001-8EC4-45A0-8C0E-54D8A8F96864}"/>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D25736F2-D7CE-408C-8BC7-379AE72CF73A}"/>
    <cellStyle name="Normal 2 4 7 5 2 3" xfId="12312" xr:uid="{863BABB9-24B3-4327-A271-77B1E094FD87}"/>
    <cellStyle name="Normal 2 4 7 5 3" xfId="5943" xr:uid="{00000000-0005-0000-0000-0000F5100000}"/>
    <cellStyle name="Normal 2 4 7 5 3 2" xfId="14385" xr:uid="{1FE1837C-0BAD-4CB4-B36E-20622351D330}"/>
    <cellStyle name="Normal 2 4 7 5 4" xfId="10167" xr:uid="{E2D6A515-9060-4D26-8EA3-CD9D8ADC8DFD}"/>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7E1E2589-5564-4C74-A8D8-F0B1F51E31DD}"/>
    <cellStyle name="Normal 2 4 7 6 2 3" xfId="12725" xr:uid="{C7D84708-C0AE-4393-889E-4BAAC25C0946}"/>
    <cellStyle name="Normal 2 4 7 6 3" xfId="6356" xr:uid="{00000000-0005-0000-0000-0000F9100000}"/>
    <cellStyle name="Normal 2 4 7 6 3 2" xfId="14798" xr:uid="{43F2D844-1F1C-4037-82D3-6E71C11A248C}"/>
    <cellStyle name="Normal 2 4 7 6 4" xfId="10580" xr:uid="{C1141AB1-23BD-4367-B235-290DB46D28C9}"/>
    <cellStyle name="Normal 2 4 7 7" xfId="2485" xr:uid="{00000000-0005-0000-0000-0000FA100000}"/>
    <cellStyle name="Normal 2 4 7 7 2" xfId="6769" xr:uid="{00000000-0005-0000-0000-0000FB100000}"/>
    <cellStyle name="Normal 2 4 7 7 2 2" xfId="15211" xr:uid="{869578C8-0921-48A5-9CDF-B603EF66B0EA}"/>
    <cellStyle name="Normal 2 4 7 7 3" xfId="10993" xr:uid="{D65E2865-4D64-4E2E-B4C1-39B1F5741882}"/>
    <cellStyle name="Normal 2 4 7 8" xfId="4703" xr:uid="{00000000-0005-0000-0000-0000FC100000}"/>
    <cellStyle name="Normal 2 4 7 8 2" xfId="13145" xr:uid="{09EEB5DA-0F25-4E4C-B83F-5B7A59BCD0ED}"/>
    <cellStyle name="Normal 2 4 7 9" xfId="8927" xr:uid="{02D22565-3D82-4678-92FA-ECCB4AAF24A9}"/>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4B01647F-20B0-4327-8BFD-3FDD76BD8045}"/>
    <cellStyle name="Normal 2 4 8 2 2 3" xfId="11488" xr:uid="{863D0D77-AF89-4E7E-B333-9834EE473094}"/>
    <cellStyle name="Normal 2 4 8 2 3" xfId="5119" xr:uid="{00000000-0005-0000-0000-000001110000}"/>
    <cellStyle name="Normal 2 4 8 2 3 2" xfId="13561" xr:uid="{7DDF4DFA-677F-4483-A392-45D8CBF83402}"/>
    <cellStyle name="Normal 2 4 8 2 4" xfId="9343" xr:uid="{A542249A-93D5-4F08-AD1B-8E43CAB72382}"/>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BE2C1872-E435-48AB-809B-9FE3608F7418}"/>
    <cellStyle name="Normal 2 4 8 3 2 3" xfId="11901" xr:uid="{B239168E-F560-43BC-88D6-5092452654BB}"/>
    <cellStyle name="Normal 2 4 8 3 3" xfId="5532" xr:uid="{00000000-0005-0000-0000-000005110000}"/>
    <cellStyle name="Normal 2 4 8 3 3 2" xfId="13974" xr:uid="{13EBD9D6-B590-415C-AB4D-3AA85C93CBC1}"/>
    <cellStyle name="Normal 2 4 8 3 4" xfId="9756" xr:uid="{7CA243C2-0EB4-4269-9B73-DDBB3145EB85}"/>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C6471805-9AF0-4285-93A6-9006B17E7187}"/>
    <cellStyle name="Normal 2 4 8 4 2 3" xfId="12314" xr:uid="{430C5CA7-D164-4E17-9959-1ABCBF9BE815}"/>
    <cellStyle name="Normal 2 4 8 4 3" xfId="5945" xr:uid="{00000000-0005-0000-0000-000009110000}"/>
    <cellStyle name="Normal 2 4 8 4 3 2" xfId="14387" xr:uid="{B1120D02-1F3D-4608-943E-B4B514BE536E}"/>
    <cellStyle name="Normal 2 4 8 4 4" xfId="10169" xr:uid="{A5DC14AC-409C-4AD0-A9CF-DE78CD834149}"/>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0913B932-46C7-4788-BF72-014A5AC2A88C}"/>
    <cellStyle name="Normal 2 4 8 5 2 3" xfId="12727" xr:uid="{732A75F9-21D0-4C51-9BFC-50878E0F3E0A}"/>
    <cellStyle name="Normal 2 4 8 5 3" xfId="6358" xr:uid="{00000000-0005-0000-0000-00000D110000}"/>
    <cellStyle name="Normal 2 4 8 5 3 2" xfId="14800" xr:uid="{49CC9B99-023B-4522-9268-6F3B7CF1B0A7}"/>
    <cellStyle name="Normal 2 4 8 5 4" xfId="10582" xr:uid="{B634E96A-2DB8-4E62-9141-AC699F59F7EA}"/>
    <cellStyle name="Normal 2 4 8 6" xfId="2487" xr:uid="{00000000-0005-0000-0000-00000E110000}"/>
    <cellStyle name="Normal 2 4 8 6 2" xfId="6771" xr:uid="{00000000-0005-0000-0000-00000F110000}"/>
    <cellStyle name="Normal 2 4 8 6 2 2" xfId="15213" xr:uid="{B42B71F7-49E3-435C-A942-6A27EF5D4E57}"/>
    <cellStyle name="Normal 2 4 8 6 3" xfId="10995" xr:uid="{A09BB010-7D76-4785-AD13-808EEBA41CB2}"/>
    <cellStyle name="Normal 2 4 8 7" xfId="4705" xr:uid="{00000000-0005-0000-0000-000010110000}"/>
    <cellStyle name="Normal 2 4 8 7 2" xfId="13147" xr:uid="{669FF353-6794-4763-9A6A-62CC39FCF0A8}"/>
    <cellStyle name="Normal 2 4 8 8" xfId="8929" xr:uid="{DEE5A55C-FEE3-4E90-B427-1241BF04772B}"/>
    <cellStyle name="Normal 2 5" xfId="315" xr:uid="{00000000-0005-0000-0000-000011110000}"/>
    <cellStyle name="Normal 2 5 10" xfId="4706" xr:uid="{00000000-0005-0000-0000-000012110000}"/>
    <cellStyle name="Normal 2 5 10 2" xfId="13148" xr:uid="{ECE51EF9-3865-408A-B016-479D140AB0D5}"/>
    <cellStyle name="Normal 2 5 11" xfId="8930" xr:uid="{56C50BA0-831B-4DBA-A358-0B73FB39679B}"/>
    <cellStyle name="Normal 2 5 2" xfId="316" xr:uid="{00000000-0005-0000-0000-000013110000}"/>
    <cellStyle name="Normal 2 5 3" xfId="317" xr:uid="{00000000-0005-0000-0000-000014110000}"/>
    <cellStyle name="Normal 2 5 4" xfId="318" xr:uid="{00000000-0005-0000-0000-000015110000}"/>
    <cellStyle name="Normal 2 5 4 10" xfId="8931" xr:uid="{E3D93027-71AB-47FC-B65D-AA8FED01D82F}"/>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DC8607E3-CC1D-467C-9B5F-4093A497C5DF}"/>
    <cellStyle name="Normal 2 5 4 2 2 2 2 3" xfId="11492" xr:uid="{3E70EABC-CE55-4C8C-8120-88104C4DF6FF}"/>
    <cellStyle name="Normal 2 5 4 2 2 2 3" xfId="5123" xr:uid="{00000000-0005-0000-0000-00001B110000}"/>
    <cellStyle name="Normal 2 5 4 2 2 2 3 2" xfId="13565" xr:uid="{2A31A884-2E5C-417A-B592-CB46FDB61CB8}"/>
    <cellStyle name="Normal 2 5 4 2 2 2 4" xfId="9347" xr:uid="{0093BDC1-24FB-4F82-8756-24E48DFC6657}"/>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22011506-5352-478B-9152-D53075604B92}"/>
    <cellStyle name="Normal 2 5 4 2 2 3 2 3" xfId="11905" xr:uid="{773AB1F0-E4D8-4260-808B-D64BE2AFFA73}"/>
    <cellStyle name="Normal 2 5 4 2 2 3 3" xfId="5536" xr:uid="{00000000-0005-0000-0000-00001F110000}"/>
    <cellStyle name="Normal 2 5 4 2 2 3 3 2" xfId="13978" xr:uid="{57A16A88-2CBF-4AA2-9042-AAFAEAC275A6}"/>
    <cellStyle name="Normal 2 5 4 2 2 3 4" xfId="9760" xr:uid="{9A56D24B-6DAC-4A72-810C-26A119B500EC}"/>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03595D54-490E-4D15-BAA4-9E4FA4C6BFA6}"/>
    <cellStyle name="Normal 2 5 4 2 2 4 2 3" xfId="12318" xr:uid="{60F7066A-B741-48C6-B295-17CB5C901D4B}"/>
    <cellStyle name="Normal 2 5 4 2 2 4 3" xfId="5949" xr:uid="{00000000-0005-0000-0000-000023110000}"/>
    <cellStyle name="Normal 2 5 4 2 2 4 3 2" xfId="14391" xr:uid="{A3853E0C-EACA-45F1-AAA1-0F92A9AC5BF8}"/>
    <cellStyle name="Normal 2 5 4 2 2 4 4" xfId="10173" xr:uid="{A279419F-F679-44F6-B8F5-5FF955ED3E2C}"/>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89244C05-5EAF-4ADA-A7A0-0E4545E110A8}"/>
    <cellStyle name="Normal 2 5 4 2 2 5 2 3" xfId="12731" xr:uid="{4AFD8EE6-ED18-431A-8D30-5F86665B90BA}"/>
    <cellStyle name="Normal 2 5 4 2 2 5 3" xfId="6362" xr:uid="{00000000-0005-0000-0000-000027110000}"/>
    <cellStyle name="Normal 2 5 4 2 2 5 3 2" xfId="14804" xr:uid="{5D47AE49-5B55-430F-A969-1532D2E5BFE6}"/>
    <cellStyle name="Normal 2 5 4 2 2 5 4" xfId="10586" xr:uid="{2348F5E4-0071-4048-89F7-0FBE65C0F5E3}"/>
    <cellStyle name="Normal 2 5 4 2 2 6" xfId="2491" xr:uid="{00000000-0005-0000-0000-000028110000}"/>
    <cellStyle name="Normal 2 5 4 2 2 6 2" xfId="6775" xr:uid="{00000000-0005-0000-0000-000029110000}"/>
    <cellStyle name="Normal 2 5 4 2 2 6 2 2" xfId="15217" xr:uid="{15CF6210-AD92-4600-9827-A0195A3D3576}"/>
    <cellStyle name="Normal 2 5 4 2 2 6 3" xfId="10999" xr:uid="{99E45A19-5A0A-455F-9F3D-E8CF2CB44B96}"/>
    <cellStyle name="Normal 2 5 4 2 2 7" xfId="4709" xr:uid="{00000000-0005-0000-0000-00002A110000}"/>
    <cellStyle name="Normal 2 5 4 2 2 7 2" xfId="13151" xr:uid="{64C0651B-A463-4DF3-B41D-8E60BCF2026C}"/>
    <cellStyle name="Normal 2 5 4 2 2 8" xfId="8933" xr:uid="{021D4648-16C6-4F20-8179-775BD2950E57}"/>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8DE088D6-D65F-4EDE-9791-DF4FD6009A8A}"/>
    <cellStyle name="Normal 2 5 4 2 3 2 3" xfId="11491" xr:uid="{20F1E4E9-45E2-4DE6-B521-DAEC3F4791B7}"/>
    <cellStyle name="Normal 2 5 4 2 3 3" xfId="5122" xr:uid="{00000000-0005-0000-0000-00002E110000}"/>
    <cellStyle name="Normal 2 5 4 2 3 3 2" xfId="13564" xr:uid="{0C1037E8-4FDA-4A7C-B53E-17B0AC1E5B03}"/>
    <cellStyle name="Normal 2 5 4 2 3 4" xfId="9346" xr:uid="{E629D086-454E-4B9D-8237-4218CA39357F}"/>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0B706757-500B-48B3-84D3-104B12B244EB}"/>
    <cellStyle name="Normal 2 5 4 2 4 2 3" xfId="11904" xr:uid="{DC0D991D-C03F-447C-A7CE-012F28B99B07}"/>
    <cellStyle name="Normal 2 5 4 2 4 3" xfId="5535" xr:uid="{00000000-0005-0000-0000-000032110000}"/>
    <cellStyle name="Normal 2 5 4 2 4 3 2" xfId="13977" xr:uid="{BF2B0406-BE0B-4227-B37E-9628C994E5B4}"/>
    <cellStyle name="Normal 2 5 4 2 4 4" xfId="9759" xr:uid="{5CF98204-C417-488B-AD2A-F4BB2C0F4B69}"/>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425CD3DF-1398-49C7-8BC4-DFB084586698}"/>
    <cellStyle name="Normal 2 5 4 2 5 2 3" xfId="12317" xr:uid="{A43762C1-631B-4F91-867E-B626EA0EDD08}"/>
    <cellStyle name="Normal 2 5 4 2 5 3" xfId="5948" xr:uid="{00000000-0005-0000-0000-000036110000}"/>
    <cellStyle name="Normal 2 5 4 2 5 3 2" xfId="14390" xr:uid="{FF9AF58B-7636-4CA1-8B30-810809D5CEA5}"/>
    <cellStyle name="Normal 2 5 4 2 5 4" xfId="10172" xr:uid="{56F0D525-8DB4-4BF7-91F5-34A2F22A99D5}"/>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9B2FFE11-51CC-479F-888B-49A20463ABA6}"/>
    <cellStyle name="Normal 2 5 4 2 6 2 3" xfId="12730" xr:uid="{7FCF7A98-9732-4267-ADCA-77A932451551}"/>
    <cellStyle name="Normal 2 5 4 2 6 3" xfId="6361" xr:uid="{00000000-0005-0000-0000-00003A110000}"/>
    <cellStyle name="Normal 2 5 4 2 6 3 2" xfId="14803" xr:uid="{1EC25D64-0923-449D-B323-BD6EF4BE0438}"/>
    <cellStyle name="Normal 2 5 4 2 6 4" xfId="10585" xr:uid="{93CCF5BA-D234-47AC-9129-9523F7C2E7DF}"/>
    <cellStyle name="Normal 2 5 4 2 7" xfId="2490" xr:uid="{00000000-0005-0000-0000-00003B110000}"/>
    <cellStyle name="Normal 2 5 4 2 7 2" xfId="6774" xr:uid="{00000000-0005-0000-0000-00003C110000}"/>
    <cellStyle name="Normal 2 5 4 2 7 2 2" xfId="15216" xr:uid="{CB317BC7-24FF-4D96-B522-819F8491B648}"/>
    <cellStyle name="Normal 2 5 4 2 7 3" xfId="10998" xr:uid="{74A5A634-D409-4C4A-BE98-90AFD6953331}"/>
    <cellStyle name="Normal 2 5 4 2 8" xfId="4708" xr:uid="{00000000-0005-0000-0000-00003D110000}"/>
    <cellStyle name="Normal 2 5 4 2 8 2" xfId="13150" xr:uid="{4F7EC603-1C36-4A4B-AC0C-6F8C36A3B1BD}"/>
    <cellStyle name="Normal 2 5 4 2 9" xfId="8932" xr:uid="{8D1ACCE2-C15C-467F-B061-C70DADA6E0E5}"/>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8271ED5C-EC7E-4837-822A-E3391A26BA79}"/>
    <cellStyle name="Normal 2 5 4 3 2 2 3" xfId="11493" xr:uid="{04F1CFA0-513D-4D27-90B7-E442FFAF26CE}"/>
    <cellStyle name="Normal 2 5 4 3 2 3" xfId="5124" xr:uid="{00000000-0005-0000-0000-000042110000}"/>
    <cellStyle name="Normal 2 5 4 3 2 3 2" xfId="13566" xr:uid="{44993082-08F0-4DB1-BB7E-1DCE6C9BB724}"/>
    <cellStyle name="Normal 2 5 4 3 2 4" xfId="9348" xr:uid="{A2B50E17-C6F5-4563-B1C0-D46C97E446EF}"/>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EB930035-3AFC-4E93-A747-30C35444A9D6}"/>
    <cellStyle name="Normal 2 5 4 3 3 2 3" xfId="11906" xr:uid="{AFE8D73A-B69B-4D10-8C74-D07F63B9D071}"/>
    <cellStyle name="Normal 2 5 4 3 3 3" xfId="5537" xr:uid="{00000000-0005-0000-0000-000046110000}"/>
    <cellStyle name="Normal 2 5 4 3 3 3 2" xfId="13979" xr:uid="{368DFBF8-CAF4-477C-A02B-3E9BEB668A8C}"/>
    <cellStyle name="Normal 2 5 4 3 3 4" xfId="9761" xr:uid="{8BBE4B5D-BD27-40BE-9CE6-A42A387AB4DF}"/>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8DE66BD3-412D-47E5-8B66-E5129803E090}"/>
    <cellStyle name="Normal 2 5 4 3 4 2 3" xfId="12319" xr:uid="{6E424BBF-D9C8-4222-82E3-5BD1199ED846}"/>
    <cellStyle name="Normal 2 5 4 3 4 3" xfId="5950" xr:uid="{00000000-0005-0000-0000-00004A110000}"/>
    <cellStyle name="Normal 2 5 4 3 4 3 2" xfId="14392" xr:uid="{65A15701-EC64-495C-A5D7-167E04F73487}"/>
    <cellStyle name="Normal 2 5 4 3 4 4" xfId="10174" xr:uid="{2E995DF5-A0D5-4C33-8B28-84A138AFF51A}"/>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B71559A0-E698-403B-B227-CF7BBE157189}"/>
    <cellStyle name="Normal 2 5 4 3 5 2 3" xfId="12732" xr:uid="{73796B9B-1962-4E2C-81F6-5EE1EDD99E7D}"/>
    <cellStyle name="Normal 2 5 4 3 5 3" xfId="6363" xr:uid="{00000000-0005-0000-0000-00004E110000}"/>
    <cellStyle name="Normal 2 5 4 3 5 3 2" xfId="14805" xr:uid="{C5F0EBA2-C85D-4AAA-B6FF-A17B4B66D900}"/>
    <cellStyle name="Normal 2 5 4 3 5 4" xfId="10587" xr:uid="{E4392ADA-D8E2-4E93-B79B-3E5F8CF020BA}"/>
    <cellStyle name="Normal 2 5 4 3 6" xfId="2492" xr:uid="{00000000-0005-0000-0000-00004F110000}"/>
    <cellStyle name="Normal 2 5 4 3 6 2" xfId="6776" xr:uid="{00000000-0005-0000-0000-000050110000}"/>
    <cellStyle name="Normal 2 5 4 3 6 2 2" xfId="15218" xr:uid="{7882857B-0649-487F-BA04-604B863DFBA9}"/>
    <cellStyle name="Normal 2 5 4 3 6 3" xfId="11000" xr:uid="{94566105-B141-4CBD-BE7C-FA03B262B01E}"/>
    <cellStyle name="Normal 2 5 4 3 7" xfId="4710" xr:uid="{00000000-0005-0000-0000-000051110000}"/>
    <cellStyle name="Normal 2 5 4 3 7 2" xfId="13152" xr:uid="{34538134-B142-4176-97A3-724A005C4264}"/>
    <cellStyle name="Normal 2 5 4 3 8" xfId="8934" xr:uid="{7C30769B-7C20-4697-8CFA-D3C66BA3CFB4}"/>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847B10EF-DEFC-4E5C-9E57-5AFEB65468DE}"/>
    <cellStyle name="Normal 2 5 4 4 2 3" xfId="11490" xr:uid="{03E32868-1ACA-4CAA-AB3B-262DF54C9916}"/>
    <cellStyle name="Normal 2 5 4 4 3" xfId="5121" xr:uid="{00000000-0005-0000-0000-000055110000}"/>
    <cellStyle name="Normal 2 5 4 4 3 2" xfId="13563" xr:uid="{EDB69698-1275-439F-B8D4-32DBF077F031}"/>
    <cellStyle name="Normal 2 5 4 4 4" xfId="9345" xr:uid="{DCAC5249-F098-4DD8-8E3C-0E6DD13337E7}"/>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C15B780A-DE81-4F90-82E3-D32AA73FB043}"/>
    <cellStyle name="Normal 2 5 4 5 2 3" xfId="11903" xr:uid="{2643EE61-18C1-48FB-9F20-CEE332B78CC7}"/>
    <cellStyle name="Normal 2 5 4 5 3" xfId="5534" xr:uid="{00000000-0005-0000-0000-000059110000}"/>
    <cellStyle name="Normal 2 5 4 5 3 2" xfId="13976" xr:uid="{92331081-BBF1-4803-AD08-7B9AD709A11C}"/>
    <cellStyle name="Normal 2 5 4 5 4" xfId="9758" xr:uid="{C292DE66-423E-4DA3-BBB5-89ABA22C56B1}"/>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BC73A184-989E-428D-814B-9B7B814BDE14}"/>
    <cellStyle name="Normal 2 5 4 6 2 3" xfId="12316" xr:uid="{A25F850A-9CAE-4D54-9254-350789FFB315}"/>
    <cellStyle name="Normal 2 5 4 6 3" xfId="5947" xr:uid="{00000000-0005-0000-0000-00005D110000}"/>
    <cellStyle name="Normal 2 5 4 6 3 2" xfId="14389" xr:uid="{70DE9CED-2C46-4181-A9F9-FFE423B8C83F}"/>
    <cellStyle name="Normal 2 5 4 6 4" xfId="10171" xr:uid="{7F8721DD-622C-44DF-99A7-9AFCE461DD83}"/>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BB17B023-8A27-4329-A3A0-56CE9E63E7BE}"/>
    <cellStyle name="Normal 2 5 4 7 2 3" xfId="12729" xr:uid="{55636E16-FB2A-40C5-8378-99A9B353EEAB}"/>
    <cellStyle name="Normal 2 5 4 7 3" xfId="6360" xr:uid="{00000000-0005-0000-0000-000061110000}"/>
    <cellStyle name="Normal 2 5 4 7 3 2" xfId="14802" xr:uid="{CDC6E711-A97F-47D2-951B-DF8CD7AD3125}"/>
    <cellStyle name="Normal 2 5 4 7 4" xfId="10584" xr:uid="{458A7F66-D539-4798-A3F1-6A8B846A05BA}"/>
    <cellStyle name="Normal 2 5 4 8" xfId="2489" xr:uid="{00000000-0005-0000-0000-000062110000}"/>
    <cellStyle name="Normal 2 5 4 8 2" xfId="6773" xr:uid="{00000000-0005-0000-0000-000063110000}"/>
    <cellStyle name="Normal 2 5 4 8 2 2" xfId="15215" xr:uid="{05CF0C93-41B6-4679-BE78-32EB06607A5F}"/>
    <cellStyle name="Normal 2 5 4 8 3" xfId="10997" xr:uid="{B8A1E5B4-5832-4494-9587-48FEDA582459}"/>
    <cellStyle name="Normal 2 5 4 9" xfId="4707" xr:uid="{00000000-0005-0000-0000-000064110000}"/>
    <cellStyle name="Normal 2 5 4 9 2" xfId="13149" xr:uid="{46AE03BC-1331-41B6-8C16-BC99B8A75B46}"/>
    <cellStyle name="Normal 2 5 5" xfId="803" xr:uid="{00000000-0005-0000-0000-000065110000}"/>
    <cellStyle name="Normal 2 5 5 2" xfId="3042" xr:uid="{00000000-0005-0000-0000-000066110000}"/>
    <cellStyle name="Normal 2 5 5 2 2" xfId="7265" xr:uid="{00000000-0005-0000-0000-000067110000}"/>
    <cellStyle name="Normal 2 5 5 2 2 2" xfId="15707" xr:uid="{5FE92DF5-77F2-4E29-8C1B-E4E6B1A63F20}"/>
    <cellStyle name="Normal 2 5 5 2 3" xfId="11489" xr:uid="{42060257-C14B-49BE-B05F-69821A80CD3A}"/>
    <cellStyle name="Normal 2 5 5 3" xfId="5120" xr:uid="{00000000-0005-0000-0000-000068110000}"/>
    <cellStyle name="Normal 2 5 5 3 2" xfId="13562" xr:uid="{DC640FCB-634B-4F48-A4A4-3C7352BDDAD8}"/>
    <cellStyle name="Normal 2 5 5 4" xfId="9344" xr:uid="{8F1A8C66-E0C2-4ECC-A783-26FA404F4A59}"/>
    <cellStyle name="Normal 2 5 6" xfId="1225" xr:uid="{00000000-0005-0000-0000-000069110000}"/>
    <cellStyle name="Normal 2 5 6 2" xfId="3455" xr:uid="{00000000-0005-0000-0000-00006A110000}"/>
    <cellStyle name="Normal 2 5 6 2 2" xfId="7678" xr:uid="{00000000-0005-0000-0000-00006B110000}"/>
    <cellStyle name="Normal 2 5 6 2 2 2" xfId="16120" xr:uid="{5469F136-110F-4A49-8B35-DA1637C3EC84}"/>
    <cellStyle name="Normal 2 5 6 2 3" xfId="11902" xr:uid="{BA371BC8-4A34-401F-AD0D-436A6E7C3D1B}"/>
    <cellStyle name="Normal 2 5 6 3" xfId="5533" xr:uid="{00000000-0005-0000-0000-00006C110000}"/>
    <cellStyle name="Normal 2 5 6 3 2" xfId="13975" xr:uid="{8850260D-C739-4DD5-8A74-BEACA780EAD6}"/>
    <cellStyle name="Normal 2 5 6 4" xfId="9757" xr:uid="{540DB50E-46A1-451C-8F26-C06738B46DB3}"/>
    <cellStyle name="Normal 2 5 7" xfId="1638" xr:uid="{00000000-0005-0000-0000-00006D110000}"/>
    <cellStyle name="Normal 2 5 7 2" xfId="3868" xr:uid="{00000000-0005-0000-0000-00006E110000}"/>
    <cellStyle name="Normal 2 5 7 2 2" xfId="8091" xr:uid="{00000000-0005-0000-0000-00006F110000}"/>
    <cellStyle name="Normal 2 5 7 2 2 2" xfId="16533" xr:uid="{CB90BC58-8BBC-4620-9452-5681A547561B}"/>
    <cellStyle name="Normal 2 5 7 2 3" xfId="12315" xr:uid="{FFB40957-CAE9-48EE-93DE-5218A277284D}"/>
    <cellStyle name="Normal 2 5 7 3" xfId="5946" xr:uid="{00000000-0005-0000-0000-000070110000}"/>
    <cellStyle name="Normal 2 5 7 3 2" xfId="14388" xr:uid="{C08D7FAB-7323-4EA1-9BD5-6D71CA321ADD}"/>
    <cellStyle name="Normal 2 5 7 4" xfId="10170" xr:uid="{027FCCCB-7261-4EC4-98F8-0A720933F5CF}"/>
    <cellStyle name="Normal 2 5 8" xfId="2052" xr:uid="{00000000-0005-0000-0000-000071110000}"/>
    <cellStyle name="Normal 2 5 8 2" xfId="4281" xr:uid="{00000000-0005-0000-0000-000072110000}"/>
    <cellStyle name="Normal 2 5 8 2 2" xfId="8504" xr:uid="{00000000-0005-0000-0000-000073110000}"/>
    <cellStyle name="Normal 2 5 8 2 2 2" xfId="16946" xr:uid="{F59D8783-B9D5-40EA-9851-AF1C646D5E6B}"/>
    <cellStyle name="Normal 2 5 8 2 3" xfId="12728" xr:uid="{4BF7B057-4862-49C0-A813-FA271E923437}"/>
    <cellStyle name="Normal 2 5 8 3" xfId="6359" xr:uid="{00000000-0005-0000-0000-000074110000}"/>
    <cellStyle name="Normal 2 5 8 3 2" xfId="14801" xr:uid="{D990E294-AFA8-4853-AD33-0C94A632E6C6}"/>
    <cellStyle name="Normal 2 5 8 4" xfId="10583" xr:uid="{C7C35FA2-1A81-4564-AE18-E5357784876C}"/>
    <cellStyle name="Normal 2 5 9" xfId="2488" xr:uid="{00000000-0005-0000-0000-000075110000}"/>
    <cellStyle name="Normal 2 5 9 2" xfId="6772" xr:uid="{00000000-0005-0000-0000-000076110000}"/>
    <cellStyle name="Normal 2 5 9 2 2" xfId="15214" xr:uid="{7B203FA4-46E7-458B-B365-1A2ACD4BF3C7}"/>
    <cellStyle name="Normal 2 5 9 3" xfId="10996" xr:uid="{6C73F73A-7AEA-40E9-8E86-09CF345641BF}"/>
    <cellStyle name="Normal 2 6" xfId="322" xr:uid="{00000000-0005-0000-0000-000077110000}"/>
    <cellStyle name="Normal 2 7" xfId="769" xr:uid="{00000000-0005-0000-0000-000078110000}"/>
    <cellStyle name="Normal 2 8" xfId="4495" xr:uid="{00000000-0005-0000-0000-000079110000}"/>
    <cellStyle name="Normal 2 8 2" xfId="12940" xr:uid="{23C7B2FB-34BE-4ED2-91B2-AE7B74B7753E}"/>
    <cellStyle name="Normal 3" xfId="323" xr:uid="{00000000-0005-0000-0000-00007A110000}"/>
    <cellStyle name="Normal 3 2" xfId="324" xr:uid="{00000000-0005-0000-0000-00007B110000}"/>
    <cellStyle name="Normal 3 2 10" xfId="8935" xr:uid="{202143D7-F531-45A4-8A23-83F933AB14D7}"/>
    <cellStyle name="Normal 3 2 2" xfId="325" xr:uid="{00000000-0005-0000-0000-00007C110000}"/>
    <cellStyle name="Normal 3 2 2 2" xfId="810" xr:uid="{00000000-0005-0000-0000-00007D110000}"/>
    <cellStyle name="Normal 3 2 3" xfId="326" xr:uid="{00000000-0005-0000-0000-00007E110000}"/>
    <cellStyle name="Normal 3 2 3 10" xfId="8936" xr:uid="{6FD4DED0-F28F-453A-AD3E-EB4DB37B6CA1}"/>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74AE0062-6E70-4135-97C4-8EAEA2761191}"/>
    <cellStyle name="Normal 3 2 3 2 2 2 2 3" xfId="11497" xr:uid="{27642495-2031-476D-A490-30C8D80A5D1E}"/>
    <cellStyle name="Normal 3 2 3 2 2 2 3" xfId="5128" xr:uid="{00000000-0005-0000-0000-000084110000}"/>
    <cellStyle name="Normal 3 2 3 2 2 2 3 2" xfId="13570" xr:uid="{B603F270-7EAF-4DD4-BC75-8A304D9A2114}"/>
    <cellStyle name="Normal 3 2 3 2 2 2 4" xfId="9352" xr:uid="{D5499AF9-B6BD-45E7-84E0-6A56E05296D2}"/>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4D5819FB-2869-4C4A-B804-B39A888EFFDA}"/>
    <cellStyle name="Normal 3 2 3 2 2 3 2 3" xfId="11910" xr:uid="{A300E308-B916-4B9F-96C1-918AB8175A72}"/>
    <cellStyle name="Normal 3 2 3 2 2 3 3" xfId="5541" xr:uid="{00000000-0005-0000-0000-000088110000}"/>
    <cellStyle name="Normal 3 2 3 2 2 3 3 2" xfId="13983" xr:uid="{5BE11640-4141-4C05-9AB2-34C72DA30D3C}"/>
    <cellStyle name="Normal 3 2 3 2 2 3 4" xfId="9765" xr:uid="{CE849E2F-C2BE-4974-9050-AD9D9E1895B6}"/>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7F186F91-9677-4263-B83B-B2FD6B2201FC}"/>
    <cellStyle name="Normal 3 2 3 2 2 4 2 3" xfId="12323" xr:uid="{0324F515-57C2-4020-8AB7-1B05EDA5AAD1}"/>
    <cellStyle name="Normal 3 2 3 2 2 4 3" xfId="5954" xr:uid="{00000000-0005-0000-0000-00008C110000}"/>
    <cellStyle name="Normal 3 2 3 2 2 4 3 2" xfId="14396" xr:uid="{FE80FAE6-9E50-440C-960C-BDD7C23CF8B5}"/>
    <cellStyle name="Normal 3 2 3 2 2 4 4" xfId="10178" xr:uid="{2E11556E-C3F9-42DA-8C83-C2BB17782D29}"/>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861F66D9-B97C-47FF-868D-B3C6D9B85251}"/>
    <cellStyle name="Normal 3 2 3 2 2 5 2 3" xfId="12736" xr:uid="{9642CA97-DFFB-4561-A88D-ACA603AC79A3}"/>
    <cellStyle name="Normal 3 2 3 2 2 5 3" xfId="6367" xr:uid="{00000000-0005-0000-0000-000090110000}"/>
    <cellStyle name="Normal 3 2 3 2 2 5 3 2" xfId="14809" xr:uid="{D8465B45-FAAE-4A4A-A57B-1636D7C08EC3}"/>
    <cellStyle name="Normal 3 2 3 2 2 5 4" xfId="10591" xr:uid="{91AD11A1-1A23-4DD8-BFCB-AC489EB70E5B}"/>
    <cellStyle name="Normal 3 2 3 2 2 6" xfId="2496" xr:uid="{00000000-0005-0000-0000-000091110000}"/>
    <cellStyle name="Normal 3 2 3 2 2 6 2" xfId="6780" xr:uid="{00000000-0005-0000-0000-000092110000}"/>
    <cellStyle name="Normal 3 2 3 2 2 6 2 2" xfId="15222" xr:uid="{293A7A2E-96BD-4F8E-963D-0AD1AEC2F6CF}"/>
    <cellStyle name="Normal 3 2 3 2 2 6 3" xfId="11004" xr:uid="{C98C47E1-4E04-4107-837B-5EBDDFD1200C}"/>
    <cellStyle name="Normal 3 2 3 2 2 7" xfId="4714" xr:uid="{00000000-0005-0000-0000-000093110000}"/>
    <cellStyle name="Normal 3 2 3 2 2 7 2" xfId="13156" xr:uid="{598B0F79-A106-4AF9-BC6C-A11A821F3D10}"/>
    <cellStyle name="Normal 3 2 3 2 2 8" xfId="8938" xr:uid="{E647DE6F-1063-45DD-A874-081C1DAB3005}"/>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AA0CF8D0-CB72-44F0-BADA-88B5BB8E94EB}"/>
    <cellStyle name="Normal 3 2 3 2 3 2 3" xfId="11496" xr:uid="{D1421C56-9476-4D07-9B9B-E692D4EE0900}"/>
    <cellStyle name="Normal 3 2 3 2 3 3" xfId="5127" xr:uid="{00000000-0005-0000-0000-000097110000}"/>
    <cellStyle name="Normal 3 2 3 2 3 3 2" xfId="13569" xr:uid="{FF76C6A3-A177-4DAC-BEEF-FE5F3BBE0925}"/>
    <cellStyle name="Normal 3 2 3 2 3 4" xfId="9351" xr:uid="{B635AEDE-F90F-4C96-9191-7747F7E715F5}"/>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16D38672-738B-477E-BE44-4E7CBB01780C}"/>
    <cellStyle name="Normal 3 2 3 2 4 2 3" xfId="11909" xr:uid="{056974FD-E478-4F5E-8F0E-4DBD0C43DC44}"/>
    <cellStyle name="Normal 3 2 3 2 4 3" xfId="5540" xr:uid="{00000000-0005-0000-0000-00009B110000}"/>
    <cellStyle name="Normal 3 2 3 2 4 3 2" xfId="13982" xr:uid="{5EE82715-B8D4-47F7-9299-E0467E6EBFB9}"/>
    <cellStyle name="Normal 3 2 3 2 4 4" xfId="9764" xr:uid="{CF1D3DE2-BC2A-41D5-B805-77019FD4AF2A}"/>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6FFDFE84-7115-44B5-AFAA-EDA00336CDF3}"/>
    <cellStyle name="Normal 3 2 3 2 5 2 3" xfId="12322" xr:uid="{D3D0C345-7019-4071-B114-52E6BF4C2E77}"/>
    <cellStyle name="Normal 3 2 3 2 5 3" xfId="5953" xr:uid="{00000000-0005-0000-0000-00009F110000}"/>
    <cellStyle name="Normal 3 2 3 2 5 3 2" xfId="14395" xr:uid="{8085E213-A1D9-445B-8F61-348001A43A63}"/>
    <cellStyle name="Normal 3 2 3 2 5 4" xfId="10177" xr:uid="{2503ADBC-6412-4E56-8E80-D80B68F91FC8}"/>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8035F2F7-444C-44D3-835D-009903A16C9F}"/>
    <cellStyle name="Normal 3 2 3 2 6 2 3" xfId="12735" xr:uid="{7CB2BBE4-F56A-4609-A242-1F326A4A4AEF}"/>
    <cellStyle name="Normal 3 2 3 2 6 3" xfId="6366" xr:uid="{00000000-0005-0000-0000-0000A3110000}"/>
    <cellStyle name="Normal 3 2 3 2 6 3 2" xfId="14808" xr:uid="{35C6F7CF-7A11-40B7-8201-CB49DA2254C1}"/>
    <cellStyle name="Normal 3 2 3 2 6 4" xfId="10590" xr:uid="{AB750BC4-F315-4CCA-96B3-8CCAB195153D}"/>
    <cellStyle name="Normal 3 2 3 2 7" xfId="2495" xr:uid="{00000000-0005-0000-0000-0000A4110000}"/>
    <cellStyle name="Normal 3 2 3 2 7 2" xfId="6779" xr:uid="{00000000-0005-0000-0000-0000A5110000}"/>
    <cellStyle name="Normal 3 2 3 2 7 2 2" xfId="15221" xr:uid="{E4910858-DD30-4AF4-B2B1-D4608AE0676F}"/>
    <cellStyle name="Normal 3 2 3 2 7 3" xfId="11003" xr:uid="{06AF58E9-1160-4D6D-9D62-727CFF1DE0B0}"/>
    <cellStyle name="Normal 3 2 3 2 8" xfId="4713" xr:uid="{00000000-0005-0000-0000-0000A6110000}"/>
    <cellStyle name="Normal 3 2 3 2 8 2" xfId="13155" xr:uid="{3687D032-4128-422A-B047-1304C64787C5}"/>
    <cellStyle name="Normal 3 2 3 2 9" xfId="8937" xr:uid="{5D4696C0-3B8B-44FB-B5EB-7AC776B244C9}"/>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C0F4399B-0F47-4EDD-833B-38CFCF29FBAE}"/>
    <cellStyle name="Normal 3 2 3 3 2 2 3" xfId="11498" xr:uid="{D4617979-6182-4EC6-A2AF-16F638732484}"/>
    <cellStyle name="Normal 3 2 3 3 2 3" xfId="5129" xr:uid="{00000000-0005-0000-0000-0000AB110000}"/>
    <cellStyle name="Normal 3 2 3 3 2 3 2" xfId="13571" xr:uid="{B0F0A32C-1F23-4CB3-BEF3-96E453FDC152}"/>
    <cellStyle name="Normal 3 2 3 3 2 4" xfId="9353" xr:uid="{02ED2EE8-9686-4BC4-B51C-4D658B1BAC5B}"/>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E494825B-2483-46C0-8863-6877E5D75257}"/>
    <cellStyle name="Normal 3 2 3 3 3 2 3" xfId="11911" xr:uid="{16BB6CF7-8F31-43A0-94AA-7D04F4ACB176}"/>
    <cellStyle name="Normal 3 2 3 3 3 3" xfId="5542" xr:uid="{00000000-0005-0000-0000-0000AF110000}"/>
    <cellStyle name="Normal 3 2 3 3 3 3 2" xfId="13984" xr:uid="{F5185B32-CBFC-495A-A9AD-A4E7E8D8FF50}"/>
    <cellStyle name="Normal 3 2 3 3 3 4" xfId="9766" xr:uid="{DEE3AC77-EB77-4989-B3C5-15A6ABD8B190}"/>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856208C0-7B84-4103-98C3-0BD64904501A}"/>
    <cellStyle name="Normal 3 2 3 3 4 2 3" xfId="12324" xr:uid="{79C46364-174C-4B84-AD28-5E5CF96677D1}"/>
    <cellStyle name="Normal 3 2 3 3 4 3" xfId="5955" xr:uid="{00000000-0005-0000-0000-0000B3110000}"/>
    <cellStyle name="Normal 3 2 3 3 4 3 2" xfId="14397" xr:uid="{82EC7A04-3163-4872-A44F-2999B68619A6}"/>
    <cellStyle name="Normal 3 2 3 3 4 4" xfId="10179" xr:uid="{2CB74A92-E2BA-487D-BD90-E84E5ABFED97}"/>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0AC2CD7B-DA6E-4A78-867E-31F2FBB08368}"/>
    <cellStyle name="Normal 3 2 3 3 5 2 3" xfId="12737" xr:uid="{B5ACF077-6B15-4571-B418-01B7052785AB}"/>
    <cellStyle name="Normal 3 2 3 3 5 3" xfId="6368" xr:uid="{00000000-0005-0000-0000-0000B7110000}"/>
    <cellStyle name="Normal 3 2 3 3 5 3 2" xfId="14810" xr:uid="{A11660F4-A294-460B-B530-ED4585EAF950}"/>
    <cellStyle name="Normal 3 2 3 3 5 4" xfId="10592" xr:uid="{DA6A86E6-C7BA-4FCA-B367-16C1935DB614}"/>
    <cellStyle name="Normal 3 2 3 3 6" xfId="2497" xr:uid="{00000000-0005-0000-0000-0000B8110000}"/>
    <cellStyle name="Normal 3 2 3 3 6 2" xfId="6781" xr:uid="{00000000-0005-0000-0000-0000B9110000}"/>
    <cellStyle name="Normal 3 2 3 3 6 2 2" xfId="15223" xr:uid="{99EEEFC4-A3CC-4C84-870A-94BBD7C119DC}"/>
    <cellStyle name="Normal 3 2 3 3 6 3" xfId="11005" xr:uid="{C5B81940-AB8D-4484-9519-B69DEA97D76B}"/>
    <cellStyle name="Normal 3 2 3 3 7" xfId="4715" xr:uid="{00000000-0005-0000-0000-0000BA110000}"/>
    <cellStyle name="Normal 3 2 3 3 7 2" xfId="13157" xr:uid="{4D45D2CE-E1AC-4DAC-9763-F2DB3907EBDC}"/>
    <cellStyle name="Normal 3 2 3 3 8" xfId="8939" xr:uid="{DD1BFA3B-CE79-4E7E-9528-C953B31E3234}"/>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CD9D9721-02BD-44D2-98E5-F285C47FA2E7}"/>
    <cellStyle name="Normal 3 2 3 4 2 3" xfId="11495" xr:uid="{7C062C49-0DE8-40B0-A8E3-9084D793C74C}"/>
    <cellStyle name="Normal 3 2 3 4 3" xfId="5126" xr:uid="{00000000-0005-0000-0000-0000BE110000}"/>
    <cellStyle name="Normal 3 2 3 4 3 2" xfId="13568" xr:uid="{42794CFC-7B4A-4CFC-9D93-060AC4240FBC}"/>
    <cellStyle name="Normal 3 2 3 4 4" xfId="9350" xr:uid="{8D3D1CD1-BDD9-491F-AA82-48C5CCD7C14A}"/>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7E306F68-DE8F-4D87-85B3-9FB4C43D7E8D}"/>
    <cellStyle name="Normal 3 2 3 5 2 3" xfId="11908" xr:uid="{5D6D3016-5857-4A3F-8624-B9CA3010A54F}"/>
    <cellStyle name="Normal 3 2 3 5 3" xfId="5539" xr:uid="{00000000-0005-0000-0000-0000C2110000}"/>
    <cellStyle name="Normal 3 2 3 5 3 2" xfId="13981" xr:uid="{35E1EB3F-122E-4CAA-A11A-951522B59617}"/>
    <cellStyle name="Normal 3 2 3 5 4" xfId="9763" xr:uid="{C3EE8873-2C12-4AED-977C-932F2581F83A}"/>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050D9B50-970D-47DC-BD93-FF9F0F4285F5}"/>
    <cellStyle name="Normal 3 2 3 6 2 3" xfId="12321" xr:uid="{AC56228E-D7ED-4A3F-865E-0F1FE89FB921}"/>
    <cellStyle name="Normal 3 2 3 6 3" xfId="5952" xr:uid="{00000000-0005-0000-0000-0000C6110000}"/>
    <cellStyle name="Normal 3 2 3 6 3 2" xfId="14394" xr:uid="{4121A221-A12F-4C5C-A047-86D3D4788758}"/>
    <cellStyle name="Normal 3 2 3 6 4" xfId="10176" xr:uid="{DDF1D293-5227-4B40-BFB5-87BB3BF80657}"/>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9E55051F-27FB-4140-9321-2FE3773EC3FB}"/>
    <cellStyle name="Normal 3 2 3 7 2 3" xfId="12734" xr:uid="{49ADA7BE-0579-45D2-9818-974CA7674289}"/>
    <cellStyle name="Normal 3 2 3 7 3" xfId="6365" xr:uid="{00000000-0005-0000-0000-0000CA110000}"/>
    <cellStyle name="Normal 3 2 3 7 3 2" xfId="14807" xr:uid="{1774B334-0BE3-4937-8C50-BB5A3E8A1465}"/>
    <cellStyle name="Normal 3 2 3 7 4" xfId="10589" xr:uid="{EF2D8839-272F-4544-970E-748E4CDDBEA9}"/>
    <cellStyle name="Normal 3 2 3 8" xfId="2494" xr:uid="{00000000-0005-0000-0000-0000CB110000}"/>
    <cellStyle name="Normal 3 2 3 8 2" xfId="6778" xr:uid="{00000000-0005-0000-0000-0000CC110000}"/>
    <cellStyle name="Normal 3 2 3 8 2 2" xfId="15220" xr:uid="{9E37755F-FCF6-43D1-86DE-F372D2D88152}"/>
    <cellStyle name="Normal 3 2 3 8 3" xfId="11002" xr:uid="{26CB87D8-B4A8-498E-8861-C90CBA6F724A}"/>
    <cellStyle name="Normal 3 2 3 9" xfId="4712" xr:uid="{00000000-0005-0000-0000-0000CD110000}"/>
    <cellStyle name="Normal 3 2 3 9 2" xfId="13154" xr:uid="{783BB987-BFEF-48E1-B716-32E135B7F53B}"/>
    <cellStyle name="Normal 3 2 4" xfId="809" xr:uid="{00000000-0005-0000-0000-0000CE110000}"/>
    <cellStyle name="Normal 3 2 4 2" xfId="3047" xr:uid="{00000000-0005-0000-0000-0000CF110000}"/>
    <cellStyle name="Normal 3 2 4 2 2" xfId="7270" xr:uid="{00000000-0005-0000-0000-0000D0110000}"/>
    <cellStyle name="Normal 3 2 4 2 2 2" xfId="15712" xr:uid="{E264FE9E-7396-4C2C-A0FE-7DA2EFED5852}"/>
    <cellStyle name="Normal 3 2 4 2 3" xfId="11494" xr:uid="{8E2F4A38-69A4-4FE5-AB8F-3EF47E741A2D}"/>
    <cellStyle name="Normal 3 2 4 3" xfId="5125" xr:uid="{00000000-0005-0000-0000-0000D1110000}"/>
    <cellStyle name="Normal 3 2 4 3 2" xfId="13567" xr:uid="{89A582E1-655D-415E-A68C-95F9C3F1D591}"/>
    <cellStyle name="Normal 3 2 4 4" xfId="9349" xr:uid="{D3367525-9058-4426-B4A8-11F7E9A4B8B5}"/>
    <cellStyle name="Normal 3 2 5" xfId="1230" xr:uid="{00000000-0005-0000-0000-0000D2110000}"/>
    <cellStyle name="Normal 3 2 5 2" xfId="3460" xr:uid="{00000000-0005-0000-0000-0000D3110000}"/>
    <cellStyle name="Normal 3 2 5 2 2" xfId="7683" xr:uid="{00000000-0005-0000-0000-0000D4110000}"/>
    <cellStyle name="Normal 3 2 5 2 2 2" xfId="16125" xr:uid="{25299D1F-0443-419D-86AF-33F86FAB7CBB}"/>
    <cellStyle name="Normal 3 2 5 2 3" xfId="11907" xr:uid="{E14BF34C-2B9A-40DC-9D79-4BAE4A85F2B2}"/>
    <cellStyle name="Normal 3 2 5 3" xfId="5538" xr:uid="{00000000-0005-0000-0000-0000D5110000}"/>
    <cellStyle name="Normal 3 2 5 3 2" xfId="13980" xr:uid="{BFC3B7DE-5027-488C-948E-D50B974BF0CE}"/>
    <cellStyle name="Normal 3 2 5 4" xfId="9762" xr:uid="{2550B73F-37AD-4D92-9233-0831D410FA9B}"/>
    <cellStyle name="Normal 3 2 6" xfId="1643" xr:uid="{00000000-0005-0000-0000-0000D6110000}"/>
    <cellStyle name="Normal 3 2 6 2" xfId="3873" xr:uid="{00000000-0005-0000-0000-0000D7110000}"/>
    <cellStyle name="Normal 3 2 6 2 2" xfId="8096" xr:uid="{00000000-0005-0000-0000-0000D8110000}"/>
    <cellStyle name="Normal 3 2 6 2 2 2" xfId="16538" xr:uid="{7E70B396-B9EF-469A-8514-E917B619C968}"/>
    <cellStyle name="Normal 3 2 6 2 3" xfId="12320" xr:uid="{D10E0E3F-ED66-4298-8899-1BBFB00361C6}"/>
    <cellStyle name="Normal 3 2 6 3" xfId="5951" xr:uid="{00000000-0005-0000-0000-0000D9110000}"/>
    <cellStyle name="Normal 3 2 6 3 2" xfId="14393" xr:uid="{4EFA44F5-09E1-4A4C-A8F9-BDFE500E27DE}"/>
    <cellStyle name="Normal 3 2 6 4" xfId="10175" xr:uid="{D0B9E646-FC76-48C8-9329-85DDC177F154}"/>
    <cellStyle name="Normal 3 2 7" xfId="2057" xr:uid="{00000000-0005-0000-0000-0000DA110000}"/>
    <cellStyle name="Normal 3 2 7 2" xfId="4286" xr:uid="{00000000-0005-0000-0000-0000DB110000}"/>
    <cellStyle name="Normal 3 2 7 2 2" xfId="8509" xr:uid="{00000000-0005-0000-0000-0000DC110000}"/>
    <cellStyle name="Normal 3 2 7 2 2 2" xfId="16951" xr:uid="{2DA7674E-29D1-4681-B419-32F3E6A3FFFD}"/>
    <cellStyle name="Normal 3 2 7 2 3" xfId="12733" xr:uid="{A396C98A-CB4C-4666-A21B-7C5C98403483}"/>
    <cellStyle name="Normal 3 2 7 3" xfId="6364" xr:uid="{00000000-0005-0000-0000-0000DD110000}"/>
    <cellStyle name="Normal 3 2 7 3 2" xfId="14806" xr:uid="{19B6BA8B-9A12-492C-9BCE-F308FC0BEAD4}"/>
    <cellStyle name="Normal 3 2 7 4" xfId="10588" xr:uid="{B62263B7-DE08-456E-8630-7341CCFCAE2E}"/>
    <cellStyle name="Normal 3 2 8" xfId="2493" xr:uid="{00000000-0005-0000-0000-0000DE110000}"/>
    <cellStyle name="Normal 3 2 8 2" xfId="6777" xr:uid="{00000000-0005-0000-0000-0000DF110000}"/>
    <cellStyle name="Normal 3 2 8 2 2" xfId="15219" xr:uid="{63CF87C4-7C98-4B30-B8ED-4D559A1FA72F}"/>
    <cellStyle name="Normal 3 2 8 3" xfId="11001" xr:uid="{833689E6-23BA-40D0-AECB-4E4F302C1D05}"/>
    <cellStyle name="Normal 3 2 9" xfId="4711" xr:uid="{00000000-0005-0000-0000-0000E0110000}"/>
    <cellStyle name="Normal 3 2 9 2" xfId="13153" xr:uid="{37E97CA9-B7C0-4ABC-8999-EBF65C14239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F9397EE3-0608-4F49-8ED3-CEA2D5941AAC}"/>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F0AF6C22-07BE-4FC2-9337-D2BE47652607}"/>
    <cellStyle name="Normal 4 2 2 10 2 3" xfId="12738" xr:uid="{365B8223-7B59-4C06-ADE4-5CDBB4223EF1}"/>
    <cellStyle name="Normal 4 2 2 10 3" xfId="6369" xr:uid="{00000000-0005-0000-0000-0000ED110000}"/>
    <cellStyle name="Normal 4 2 2 10 3 2" xfId="14811" xr:uid="{8C96D1EF-07A8-4415-9411-40734F26460D}"/>
    <cellStyle name="Normal 4 2 2 10 4" xfId="10593" xr:uid="{9C735E4C-B7F7-450E-89D1-CC40B80FCE4F}"/>
    <cellStyle name="Normal 4 2 2 11" xfId="2498" xr:uid="{00000000-0005-0000-0000-0000EE110000}"/>
    <cellStyle name="Normal 4 2 2 11 2" xfId="6782" xr:uid="{00000000-0005-0000-0000-0000EF110000}"/>
    <cellStyle name="Normal 4 2 2 11 2 2" xfId="15224" xr:uid="{EB93611A-C5ED-486C-8FC3-6585423BCEE6}"/>
    <cellStyle name="Normal 4 2 2 11 3" xfId="11006" xr:uid="{DDEAB962-972A-4B2C-BFC9-7740D976F8AE}"/>
    <cellStyle name="Normal 4 2 2 12" xfId="4717" xr:uid="{00000000-0005-0000-0000-0000F0110000}"/>
    <cellStyle name="Normal 4 2 2 12 2" xfId="13159" xr:uid="{CAA49066-C19A-4D7F-AE7A-445A42CD178B}"/>
    <cellStyle name="Normal 4 2 2 13" xfId="8941" xr:uid="{52FE2CD4-4058-4E94-86AA-00DE1C2FDE2C}"/>
    <cellStyle name="Normal 4 2 2 2" xfId="338" xr:uid="{00000000-0005-0000-0000-0000F1110000}"/>
    <cellStyle name="Normal 4 2 2 3" xfId="339" xr:uid="{00000000-0005-0000-0000-0000F2110000}"/>
    <cellStyle name="Normal 4 2 2 3 10" xfId="4718" xr:uid="{00000000-0005-0000-0000-0000F3110000}"/>
    <cellStyle name="Normal 4 2 2 3 10 2" xfId="13160" xr:uid="{E7571A45-64CF-464A-A489-5A7D46B134BE}"/>
    <cellStyle name="Normal 4 2 2 3 11" xfId="8942" xr:uid="{C19D316E-2DC0-461E-9118-73C3FF983386}"/>
    <cellStyle name="Normal 4 2 2 3 2" xfId="340" xr:uid="{00000000-0005-0000-0000-0000F4110000}"/>
    <cellStyle name="Normal 4 2 2 3 2 10" xfId="8943" xr:uid="{8FD2D805-A869-4D53-B6BD-6C0A14D436F4}"/>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66CCF075-4825-4E1E-9D9F-EDD5C2E1D041}"/>
    <cellStyle name="Normal 4 2 2 3 2 2 2 2 2 3" xfId="11503" xr:uid="{15B9AD4B-1109-4462-B4D6-5A719E2C0AFF}"/>
    <cellStyle name="Normal 4 2 2 3 2 2 2 2 3" xfId="5134" xr:uid="{00000000-0005-0000-0000-0000FA110000}"/>
    <cellStyle name="Normal 4 2 2 3 2 2 2 2 3 2" xfId="13576" xr:uid="{C0E8C631-2195-4781-9F91-FD603B145E8D}"/>
    <cellStyle name="Normal 4 2 2 3 2 2 2 2 4" xfId="9358" xr:uid="{49B97911-7740-489D-AE45-DDA11B655BCA}"/>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29870CB1-0326-4710-A9DC-CFD1616127FD}"/>
    <cellStyle name="Normal 4 2 2 3 2 2 2 3 2 3" xfId="11916" xr:uid="{21ED0BAA-2894-4FF2-A555-2BF8D37A89A4}"/>
    <cellStyle name="Normal 4 2 2 3 2 2 2 3 3" xfId="5547" xr:uid="{00000000-0005-0000-0000-0000FE110000}"/>
    <cellStyle name="Normal 4 2 2 3 2 2 2 3 3 2" xfId="13989" xr:uid="{CDE31C70-3D6C-4F10-99E5-B647738B3E5E}"/>
    <cellStyle name="Normal 4 2 2 3 2 2 2 3 4" xfId="9771" xr:uid="{F84380E5-0614-4FF9-9B9C-B67C00B175CA}"/>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F09156B9-A827-4C39-981B-29B6E2E254D0}"/>
    <cellStyle name="Normal 4 2 2 3 2 2 2 4 2 3" xfId="12329" xr:uid="{C52E8CA4-A87D-4260-9832-B409A5734B4D}"/>
    <cellStyle name="Normal 4 2 2 3 2 2 2 4 3" xfId="5960" xr:uid="{00000000-0005-0000-0000-000002120000}"/>
    <cellStyle name="Normal 4 2 2 3 2 2 2 4 3 2" xfId="14402" xr:uid="{F05632BD-4D3F-42FF-96A1-0A99EEABED5A}"/>
    <cellStyle name="Normal 4 2 2 3 2 2 2 4 4" xfId="10184" xr:uid="{C26BD779-B0D5-4835-BFE4-20E4052FEDCF}"/>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3F7FBC2D-22A8-42A6-886F-388AF4BE1CF5}"/>
    <cellStyle name="Normal 4 2 2 3 2 2 2 5 2 3" xfId="12742" xr:uid="{13DBCCB9-999D-4743-9331-5C99E8E3A5E7}"/>
    <cellStyle name="Normal 4 2 2 3 2 2 2 5 3" xfId="6373" xr:uid="{00000000-0005-0000-0000-000006120000}"/>
    <cellStyle name="Normal 4 2 2 3 2 2 2 5 3 2" xfId="14815" xr:uid="{62609D1A-CEEC-4047-AFDC-FADCC01C586C}"/>
    <cellStyle name="Normal 4 2 2 3 2 2 2 5 4" xfId="10597" xr:uid="{0852D025-9F13-466F-9BAF-23D5499F0641}"/>
    <cellStyle name="Normal 4 2 2 3 2 2 2 6" xfId="2502" xr:uid="{00000000-0005-0000-0000-000007120000}"/>
    <cellStyle name="Normal 4 2 2 3 2 2 2 6 2" xfId="6786" xr:uid="{00000000-0005-0000-0000-000008120000}"/>
    <cellStyle name="Normal 4 2 2 3 2 2 2 6 2 2" xfId="15228" xr:uid="{AD9864DF-D09E-46BC-B216-06DE301E2C8E}"/>
    <cellStyle name="Normal 4 2 2 3 2 2 2 6 3" xfId="11010" xr:uid="{C0F8C080-D152-42B9-8204-1AD9289186A7}"/>
    <cellStyle name="Normal 4 2 2 3 2 2 2 7" xfId="4721" xr:uid="{00000000-0005-0000-0000-000009120000}"/>
    <cellStyle name="Normal 4 2 2 3 2 2 2 7 2" xfId="13163" xr:uid="{48424EB5-9A19-4CC8-9859-57D0FC2B1AE1}"/>
    <cellStyle name="Normal 4 2 2 3 2 2 2 8" xfId="8945" xr:uid="{361494F9-FB52-4AF9-B524-45156C942A16}"/>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79F9BBAB-1A06-4639-A6E8-B281C3D30D24}"/>
    <cellStyle name="Normal 4 2 2 3 2 2 3 2 3" xfId="11502" xr:uid="{09A75C5B-EB6C-4484-922E-38B8F67B21F8}"/>
    <cellStyle name="Normal 4 2 2 3 2 2 3 3" xfId="5133" xr:uid="{00000000-0005-0000-0000-00000D120000}"/>
    <cellStyle name="Normal 4 2 2 3 2 2 3 3 2" xfId="13575" xr:uid="{C82D685C-EAC8-46A3-ABB2-9B1E2FA54202}"/>
    <cellStyle name="Normal 4 2 2 3 2 2 3 4" xfId="9357" xr:uid="{62CFD1FD-7C69-4A8A-AC47-D61F0F72438E}"/>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9B4ED026-80A7-4074-915F-9C80EB7B22BE}"/>
    <cellStyle name="Normal 4 2 2 3 2 2 4 2 3" xfId="11915" xr:uid="{BF716E49-CC58-4C4F-B0DB-22F7499C59C5}"/>
    <cellStyle name="Normal 4 2 2 3 2 2 4 3" xfId="5546" xr:uid="{00000000-0005-0000-0000-000011120000}"/>
    <cellStyle name="Normal 4 2 2 3 2 2 4 3 2" xfId="13988" xr:uid="{0DA0EBF0-196D-490E-98D0-C2D0C18A3F60}"/>
    <cellStyle name="Normal 4 2 2 3 2 2 4 4" xfId="9770" xr:uid="{1F6E1DA3-8EC6-46B3-A21D-6222420C9E21}"/>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6759988E-EEEB-4D28-932A-208FB10BB905}"/>
    <cellStyle name="Normal 4 2 2 3 2 2 5 2 3" xfId="12328" xr:uid="{8DFD0036-6931-4A25-95BD-A9E3BE395FD2}"/>
    <cellStyle name="Normal 4 2 2 3 2 2 5 3" xfId="5959" xr:uid="{00000000-0005-0000-0000-000015120000}"/>
    <cellStyle name="Normal 4 2 2 3 2 2 5 3 2" xfId="14401" xr:uid="{C9EF6356-0860-4BBC-9E53-B286127C3E1D}"/>
    <cellStyle name="Normal 4 2 2 3 2 2 5 4" xfId="10183" xr:uid="{E48CC34B-A19A-433B-9ED0-D73687A5594E}"/>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EEB8C27A-04B6-4205-8707-DED467315CA0}"/>
    <cellStyle name="Normal 4 2 2 3 2 2 6 2 3" xfId="12741" xr:uid="{7D91C122-185A-47C9-A5BB-51D8C5513CDF}"/>
    <cellStyle name="Normal 4 2 2 3 2 2 6 3" xfId="6372" xr:uid="{00000000-0005-0000-0000-000019120000}"/>
    <cellStyle name="Normal 4 2 2 3 2 2 6 3 2" xfId="14814" xr:uid="{14C408C6-B4E2-4637-9890-842D064487CD}"/>
    <cellStyle name="Normal 4 2 2 3 2 2 6 4" xfId="10596" xr:uid="{5865AB44-2A2B-4938-B884-EA2780CE25A3}"/>
    <cellStyle name="Normal 4 2 2 3 2 2 7" xfId="2501" xr:uid="{00000000-0005-0000-0000-00001A120000}"/>
    <cellStyle name="Normal 4 2 2 3 2 2 7 2" xfId="6785" xr:uid="{00000000-0005-0000-0000-00001B120000}"/>
    <cellStyle name="Normal 4 2 2 3 2 2 7 2 2" xfId="15227" xr:uid="{8205FED9-2104-4E62-A7BD-5A9E34E09A46}"/>
    <cellStyle name="Normal 4 2 2 3 2 2 7 3" xfId="11009" xr:uid="{075B7B68-4CF2-43C4-BE8E-45B59AB03DDD}"/>
    <cellStyle name="Normal 4 2 2 3 2 2 8" xfId="4720" xr:uid="{00000000-0005-0000-0000-00001C120000}"/>
    <cellStyle name="Normal 4 2 2 3 2 2 8 2" xfId="13162" xr:uid="{D85326E2-1A11-489A-AE45-FC502F03201D}"/>
    <cellStyle name="Normal 4 2 2 3 2 2 9" xfId="8944" xr:uid="{A92540C1-B1E9-4936-A42D-5AE3CBB8A5A3}"/>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D865558B-EA9E-4B55-9F9F-B41F2B138013}"/>
    <cellStyle name="Normal 4 2 2 3 2 3 2 2 3" xfId="11504" xr:uid="{385F2DFC-2CAE-410C-928D-6423191567A5}"/>
    <cellStyle name="Normal 4 2 2 3 2 3 2 3" xfId="5135" xr:uid="{00000000-0005-0000-0000-000021120000}"/>
    <cellStyle name="Normal 4 2 2 3 2 3 2 3 2" xfId="13577" xr:uid="{AB4CCE34-79DE-466D-B674-85F9A3B35B23}"/>
    <cellStyle name="Normal 4 2 2 3 2 3 2 4" xfId="9359" xr:uid="{588671F9-59B0-495B-A890-CA1BD2BC757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274FEDC3-AB87-40F6-A548-8529F85B30D7}"/>
    <cellStyle name="Normal 4 2 2 3 2 3 3 2 3" xfId="11917" xr:uid="{4D8BDAC0-6936-4A1A-915B-05CDFF9C54B8}"/>
    <cellStyle name="Normal 4 2 2 3 2 3 3 3" xfId="5548" xr:uid="{00000000-0005-0000-0000-000025120000}"/>
    <cellStyle name="Normal 4 2 2 3 2 3 3 3 2" xfId="13990" xr:uid="{E333080A-044E-4F40-AA33-D7C7E321EB4D}"/>
    <cellStyle name="Normal 4 2 2 3 2 3 3 4" xfId="9772" xr:uid="{2FFB8835-3E4F-4992-B87F-44FA2467AE3A}"/>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32C4AC6A-4E9D-4F9F-972A-A2E9CFE9C0E8}"/>
    <cellStyle name="Normal 4 2 2 3 2 3 4 2 3" xfId="12330" xr:uid="{4A99DE6C-547E-4B2F-9378-E7EDA296E906}"/>
    <cellStyle name="Normal 4 2 2 3 2 3 4 3" xfId="5961" xr:uid="{00000000-0005-0000-0000-000029120000}"/>
    <cellStyle name="Normal 4 2 2 3 2 3 4 3 2" xfId="14403" xr:uid="{DF024ECE-833C-4AD5-8F28-8EB8B73DD5D9}"/>
    <cellStyle name="Normal 4 2 2 3 2 3 4 4" xfId="10185" xr:uid="{9ACE1105-74E4-4A11-B2B7-D1DE7CE37ABB}"/>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CA48A241-8A35-43FD-98D7-AF2413270798}"/>
    <cellStyle name="Normal 4 2 2 3 2 3 5 2 3" xfId="12743" xr:uid="{D68A0422-9C68-48BB-A730-6DCCA5821C93}"/>
    <cellStyle name="Normal 4 2 2 3 2 3 5 3" xfId="6374" xr:uid="{00000000-0005-0000-0000-00002D120000}"/>
    <cellStyle name="Normal 4 2 2 3 2 3 5 3 2" xfId="14816" xr:uid="{A0407219-E624-42B1-8DE8-1D9BBDFDE6B0}"/>
    <cellStyle name="Normal 4 2 2 3 2 3 5 4" xfId="10598" xr:uid="{AAED3917-3C20-4B2B-BEEE-E6019D7BC237}"/>
    <cellStyle name="Normal 4 2 2 3 2 3 6" xfId="2503" xr:uid="{00000000-0005-0000-0000-00002E120000}"/>
    <cellStyle name="Normal 4 2 2 3 2 3 6 2" xfId="6787" xr:uid="{00000000-0005-0000-0000-00002F120000}"/>
    <cellStyle name="Normal 4 2 2 3 2 3 6 2 2" xfId="15229" xr:uid="{5F711E1E-497C-4B19-A49E-C94EE754CE3E}"/>
    <cellStyle name="Normal 4 2 2 3 2 3 6 3" xfId="11011" xr:uid="{A277A080-004F-457B-AFDC-5786894BCF14}"/>
    <cellStyle name="Normal 4 2 2 3 2 3 7" xfId="4722" xr:uid="{00000000-0005-0000-0000-000030120000}"/>
    <cellStyle name="Normal 4 2 2 3 2 3 7 2" xfId="13164" xr:uid="{DB7D473B-A418-4249-94B6-7E4D1B34CD04}"/>
    <cellStyle name="Normal 4 2 2 3 2 3 8" xfId="8946" xr:uid="{B5578C39-C654-48E3-B912-4F21705B1078}"/>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7CB2FE7C-BBF7-475C-B3AA-84E69224A2E7}"/>
    <cellStyle name="Normal 4 2 2 3 2 4 2 3" xfId="11501" xr:uid="{FB522BA8-9F63-4CC0-A8E8-A4AEB268C655}"/>
    <cellStyle name="Normal 4 2 2 3 2 4 3" xfId="5132" xr:uid="{00000000-0005-0000-0000-000034120000}"/>
    <cellStyle name="Normal 4 2 2 3 2 4 3 2" xfId="13574" xr:uid="{022C0DB3-A4EF-41B7-88D5-D506807719E7}"/>
    <cellStyle name="Normal 4 2 2 3 2 4 4" xfId="9356" xr:uid="{61726923-64F3-4DF0-853E-DAEB83DD861C}"/>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D80AA53F-13CD-4204-AF7D-649A56C41A9D}"/>
    <cellStyle name="Normal 4 2 2 3 2 5 2 3" xfId="11914" xr:uid="{76A65969-DD3A-4004-9BC6-6458AD0CA403}"/>
    <cellStyle name="Normal 4 2 2 3 2 5 3" xfId="5545" xr:uid="{00000000-0005-0000-0000-000038120000}"/>
    <cellStyle name="Normal 4 2 2 3 2 5 3 2" xfId="13987" xr:uid="{80624C91-B4F2-42EE-A4B1-CF65D2F0432D}"/>
    <cellStyle name="Normal 4 2 2 3 2 5 4" xfId="9769" xr:uid="{5BECF8FE-2C2A-4A2B-A5FF-BD4621BA209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E3DC9000-207B-4835-9445-02C34657DC8D}"/>
    <cellStyle name="Normal 4 2 2 3 2 6 2 3" xfId="12327" xr:uid="{FEC66869-5341-4CE3-A153-97F1D3A7735A}"/>
    <cellStyle name="Normal 4 2 2 3 2 6 3" xfId="5958" xr:uid="{00000000-0005-0000-0000-00003C120000}"/>
    <cellStyle name="Normal 4 2 2 3 2 6 3 2" xfId="14400" xr:uid="{59938B0F-61FD-43FC-947C-74EBCA37BA23}"/>
    <cellStyle name="Normal 4 2 2 3 2 6 4" xfId="10182" xr:uid="{C2DF2F71-0207-4786-B213-2034D57AC7EB}"/>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E3AECC97-B155-4E17-8B03-878C505BF55B}"/>
    <cellStyle name="Normal 4 2 2 3 2 7 2 3" xfId="12740" xr:uid="{2A5250DF-6E2D-46D7-9705-17CD8B43C24E}"/>
    <cellStyle name="Normal 4 2 2 3 2 7 3" xfId="6371" xr:uid="{00000000-0005-0000-0000-000040120000}"/>
    <cellStyle name="Normal 4 2 2 3 2 7 3 2" xfId="14813" xr:uid="{5CCBE1A1-12FF-4858-90C3-3AD9267250A0}"/>
    <cellStyle name="Normal 4 2 2 3 2 7 4" xfId="10595" xr:uid="{3836A511-21E5-4370-B97B-03358B53E6A6}"/>
    <cellStyle name="Normal 4 2 2 3 2 8" xfId="2500" xr:uid="{00000000-0005-0000-0000-000041120000}"/>
    <cellStyle name="Normal 4 2 2 3 2 8 2" xfId="6784" xr:uid="{00000000-0005-0000-0000-000042120000}"/>
    <cellStyle name="Normal 4 2 2 3 2 8 2 2" xfId="15226" xr:uid="{4504DEB5-BA7B-4C2F-A6E7-390CFC822877}"/>
    <cellStyle name="Normal 4 2 2 3 2 8 3" xfId="11008" xr:uid="{0213C445-A3C9-49C2-A03B-9A7B64020049}"/>
    <cellStyle name="Normal 4 2 2 3 2 9" xfId="4719" xr:uid="{00000000-0005-0000-0000-000043120000}"/>
    <cellStyle name="Normal 4 2 2 3 2 9 2" xfId="13161" xr:uid="{4F2B47BB-491A-4A3D-BCBC-19F6B6FA608C}"/>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E2A2E490-B1BD-4BBB-84FC-04E6221AB39C}"/>
    <cellStyle name="Normal 4 2 2 3 3 2 2 2 3" xfId="11506" xr:uid="{0A201A0E-B9D7-43B3-9250-CB8E8E163DFE}"/>
    <cellStyle name="Normal 4 2 2 3 3 2 2 3" xfId="5137" xr:uid="{00000000-0005-0000-0000-000049120000}"/>
    <cellStyle name="Normal 4 2 2 3 3 2 2 3 2" xfId="13579" xr:uid="{C7ED3458-A4C2-461D-B39B-1EBFDE1D6E7C}"/>
    <cellStyle name="Normal 4 2 2 3 3 2 2 4" xfId="9361" xr:uid="{69DCCF7C-1614-4139-A18B-A33BAEA44C8E}"/>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B25A73BE-38B4-42BD-92CE-E8A6712E7018}"/>
    <cellStyle name="Normal 4 2 2 3 3 2 3 2 3" xfId="11919" xr:uid="{FA9380A1-3544-4C3C-AFAE-8430F13A0D40}"/>
    <cellStyle name="Normal 4 2 2 3 3 2 3 3" xfId="5550" xr:uid="{00000000-0005-0000-0000-00004D120000}"/>
    <cellStyle name="Normal 4 2 2 3 3 2 3 3 2" xfId="13992" xr:uid="{B808FC78-0CC1-46DA-8068-E0819BC41EF2}"/>
    <cellStyle name="Normal 4 2 2 3 3 2 3 4" xfId="9774" xr:uid="{5AE891FE-2F4B-4699-A852-DD5B0E28844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D749D428-3A47-46F9-9D96-21E9193231AF}"/>
    <cellStyle name="Normal 4 2 2 3 3 2 4 2 3" xfId="12332" xr:uid="{17738615-092B-455A-87F5-AD50F6F4570A}"/>
    <cellStyle name="Normal 4 2 2 3 3 2 4 3" xfId="5963" xr:uid="{00000000-0005-0000-0000-000051120000}"/>
    <cellStyle name="Normal 4 2 2 3 3 2 4 3 2" xfId="14405" xr:uid="{50A7EAA3-E772-4969-B71B-923D407EC62C}"/>
    <cellStyle name="Normal 4 2 2 3 3 2 4 4" xfId="10187" xr:uid="{0171F7DC-9DB6-48E7-ADFB-E399D34944AA}"/>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33D1980A-60A5-4B2B-A7F8-C181B60F76DD}"/>
    <cellStyle name="Normal 4 2 2 3 3 2 5 2 3" xfId="12745" xr:uid="{F6FC5C58-6765-46DC-A891-D0181453B121}"/>
    <cellStyle name="Normal 4 2 2 3 3 2 5 3" xfId="6376" xr:uid="{00000000-0005-0000-0000-000055120000}"/>
    <cellStyle name="Normal 4 2 2 3 3 2 5 3 2" xfId="14818" xr:uid="{CF87BCDB-A859-4C88-B2EE-BD7666978589}"/>
    <cellStyle name="Normal 4 2 2 3 3 2 5 4" xfId="10600" xr:uid="{B2AE11C7-95CE-4DE7-A3F6-1EA5562F0390}"/>
    <cellStyle name="Normal 4 2 2 3 3 2 6" xfId="2505" xr:uid="{00000000-0005-0000-0000-000056120000}"/>
    <cellStyle name="Normal 4 2 2 3 3 2 6 2" xfId="6789" xr:uid="{00000000-0005-0000-0000-000057120000}"/>
    <cellStyle name="Normal 4 2 2 3 3 2 6 2 2" xfId="15231" xr:uid="{3919CDE8-C79D-41C0-B108-D408382BD6E6}"/>
    <cellStyle name="Normal 4 2 2 3 3 2 6 3" xfId="11013" xr:uid="{DC4089C0-63C0-41C0-B656-C90FD4D9A5A6}"/>
    <cellStyle name="Normal 4 2 2 3 3 2 7" xfId="4724" xr:uid="{00000000-0005-0000-0000-000058120000}"/>
    <cellStyle name="Normal 4 2 2 3 3 2 7 2" xfId="13166" xr:uid="{8D1A4713-3638-431C-B4B1-13C5D19A2C9C}"/>
    <cellStyle name="Normal 4 2 2 3 3 2 8" xfId="8948" xr:uid="{70DF6485-9F25-4700-BCC1-2A414EE7C999}"/>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01B73D49-EDC0-4EF0-9751-E44351C1D879}"/>
    <cellStyle name="Normal 4 2 2 3 3 3 2 3" xfId="11505" xr:uid="{7C3884DE-3ACA-4AA1-AEC5-D878448AF092}"/>
    <cellStyle name="Normal 4 2 2 3 3 3 3" xfId="5136" xr:uid="{00000000-0005-0000-0000-00005C120000}"/>
    <cellStyle name="Normal 4 2 2 3 3 3 3 2" xfId="13578" xr:uid="{A5AB1059-8F5F-4E3D-9369-F1F058D22B24}"/>
    <cellStyle name="Normal 4 2 2 3 3 3 4" xfId="9360" xr:uid="{4BDB96A2-F5C7-4495-A200-FC28B910D634}"/>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015F5031-8869-4027-A76C-36813D05E8A8}"/>
    <cellStyle name="Normal 4 2 2 3 3 4 2 3" xfId="11918" xr:uid="{ADB0335B-84B4-4EBE-A805-67A8B48E9EF0}"/>
    <cellStyle name="Normal 4 2 2 3 3 4 3" xfId="5549" xr:uid="{00000000-0005-0000-0000-000060120000}"/>
    <cellStyle name="Normal 4 2 2 3 3 4 3 2" xfId="13991" xr:uid="{D24090D1-9E8B-458F-B8B7-6A47354AFF06}"/>
    <cellStyle name="Normal 4 2 2 3 3 4 4" xfId="9773" xr:uid="{3038ECBB-344A-41CD-8DF3-3A13F782CCF6}"/>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1FA707DA-9B16-42CE-8749-D2A130AD5554}"/>
    <cellStyle name="Normal 4 2 2 3 3 5 2 3" xfId="12331" xr:uid="{3B30915C-626B-4BAB-950C-0D71A7DAA74F}"/>
    <cellStyle name="Normal 4 2 2 3 3 5 3" xfId="5962" xr:uid="{00000000-0005-0000-0000-000064120000}"/>
    <cellStyle name="Normal 4 2 2 3 3 5 3 2" xfId="14404" xr:uid="{882DFD56-A320-4328-976F-0E7258D7A02F}"/>
    <cellStyle name="Normal 4 2 2 3 3 5 4" xfId="10186" xr:uid="{33A125EB-5288-431E-87DC-CF07C5E8B50D}"/>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0E147099-4DA3-4FEA-BC83-D94363FF5677}"/>
    <cellStyle name="Normal 4 2 2 3 3 6 2 3" xfId="12744" xr:uid="{9B26B427-CE08-4052-B965-870A04463FD1}"/>
    <cellStyle name="Normal 4 2 2 3 3 6 3" xfId="6375" xr:uid="{00000000-0005-0000-0000-000068120000}"/>
    <cellStyle name="Normal 4 2 2 3 3 6 3 2" xfId="14817" xr:uid="{FB805162-29AA-4A01-9B41-9AA5D25F9BBD}"/>
    <cellStyle name="Normal 4 2 2 3 3 6 4" xfId="10599" xr:uid="{B9973F49-CB07-4B8B-B927-1577EBDDA729}"/>
    <cellStyle name="Normal 4 2 2 3 3 7" xfId="2504" xr:uid="{00000000-0005-0000-0000-000069120000}"/>
    <cellStyle name="Normal 4 2 2 3 3 7 2" xfId="6788" xr:uid="{00000000-0005-0000-0000-00006A120000}"/>
    <cellStyle name="Normal 4 2 2 3 3 7 2 2" xfId="15230" xr:uid="{55CF51B0-1315-45C3-A000-C7E26919D737}"/>
    <cellStyle name="Normal 4 2 2 3 3 7 3" xfId="11012" xr:uid="{0D85266D-21E7-427F-A306-D0EE13F1816A}"/>
    <cellStyle name="Normal 4 2 2 3 3 8" xfId="4723" xr:uid="{00000000-0005-0000-0000-00006B120000}"/>
    <cellStyle name="Normal 4 2 2 3 3 8 2" xfId="13165" xr:uid="{73F70DEF-F3C1-4395-B64B-067BB323404D}"/>
    <cellStyle name="Normal 4 2 2 3 3 9" xfId="8947" xr:uid="{05FC44EA-369A-4AAE-BB2D-5591032822A7}"/>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CFFA4213-04B6-4E05-9499-955E49C81B81}"/>
    <cellStyle name="Normal 4 2 2 3 4 2 2 3" xfId="11507" xr:uid="{0DF4A68F-05EE-4B29-8518-C20A8A5C9DB6}"/>
    <cellStyle name="Normal 4 2 2 3 4 2 3" xfId="5138" xr:uid="{00000000-0005-0000-0000-000070120000}"/>
    <cellStyle name="Normal 4 2 2 3 4 2 3 2" xfId="13580" xr:uid="{E5C27227-15B9-43B9-BBF1-9B91931E8D36}"/>
    <cellStyle name="Normal 4 2 2 3 4 2 4" xfId="9362" xr:uid="{A8619F41-1C27-43BD-B4AC-88368C573787}"/>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7FBCBAFE-A261-4014-AAB1-9F0FEAA149F6}"/>
    <cellStyle name="Normal 4 2 2 3 4 3 2 3" xfId="11920" xr:uid="{104F20B7-9935-417E-802F-1272A293FD85}"/>
    <cellStyle name="Normal 4 2 2 3 4 3 3" xfId="5551" xr:uid="{00000000-0005-0000-0000-000074120000}"/>
    <cellStyle name="Normal 4 2 2 3 4 3 3 2" xfId="13993" xr:uid="{6CF370B5-B7BB-43E9-BE30-7564C071EABD}"/>
    <cellStyle name="Normal 4 2 2 3 4 3 4" xfId="9775" xr:uid="{E4AD37CE-18EA-4573-B9B8-E1A94A7D6F1E}"/>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73B9BA9B-7624-4F22-9F2D-7EADEF2126CC}"/>
    <cellStyle name="Normal 4 2 2 3 4 4 2 3" xfId="12333" xr:uid="{D3186311-3BD6-479F-A681-4360BFA84990}"/>
    <cellStyle name="Normal 4 2 2 3 4 4 3" xfId="5964" xr:uid="{00000000-0005-0000-0000-000078120000}"/>
    <cellStyle name="Normal 4 2 2 3 4 4 3 2" xfId="14406" xr:uid="{F33036A6-1104-4DF8-A8FA-3406F847F07B}"/>
    <cellStyle name="Normal 4 2 2 3 4 4 4" xfId="10188" xr:uid="{4C931B4F-3661-4043-9163-BA50FBA055C2}"/>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24D6776E-DB36-4E57-9C10-D1A2288957D7}"/>
    <cellStyle name="Normal 4 2 2 3 4 5 2 3" xfId="12746" xr:uid="{1BDA98AA-E4EA-4AEC-B735-06A6622BA6F9}"/>
    <cellStyle name="Normal 4 2 2 3 4 5 3" xfId="6377" xr:uid="{00000000-0005-0000-0000-00007C120000}"/>
    <cellStyle name="Normal 4 2 2 3 4 5 3 2" xfId="14819" xr:uid="{391812A8-20CA-4A47-BDE7-50BDC9CD0005}"/>
    <cellStyle name="Normal 4 2 2 3 4 5 4" xfId="10601" xr:uid="{7C90D970-85C6-4EFB-B19A-B24021C14C15}"/>
    <cellStyle name="Normal 4 2 2 3 4 6" xfId="2506" xr:uid="{00000000-0005-0000-0000-00007D120000}"/>
    <cellStyle name="Normal 4 2 2 3 4 6 2" xfId="6790" xr:uid="{00000000-0005-0000-0000-00007E120000}"/>
    <cellStyle name="Normal 4 2 2 3 4 6 2 2" xfId="15232" xr:uid="{5B41A9AE-BDBD-47F5-93D6-925633DA7615}"/>
    <cellStyle name="Normal 4 2 2 3 4 6 3" xfId="11014" xr:uid="{807E3281-796B-467F-85EF-90464E56B801}"/>
    <cellStyle name="Normal 4 2 2 3 4 7" xfId="4725" xr:uid="{00000000-0005-0000-0000-00007F120000}"/>
    <cellStyle name="Normal 4 2 2 3 4 7 2" xfId="13167" xr:uid="{9FC0AD12-1839-48BF-8BF6-9FEE502FCAA2}"/>
    <cellStyle name="Normal 4 2 2 3 4 8" xfId="8949" xr:uid="{B5A731EF-F42C-4964-9D5E-824CAC11D1BB}"/>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CEB4B1D0-5557-4C46-887E-24898FFC8F99}"/>
    <cellStyle name="Normal 4 2 2 3 5 2 3" xfId="11500" xr:uid="{10ABB7B2-34B2-48BE-9C70-7A495183BDB9}"/>
    <cellStyle name="Normal 4 2 2 3 5 3" xfId="5131" xr:uid="{00000000-0005-0000-0000-000083120000}"/>
    <cellStyle name="Normal 4 2 2 3 5 3 2" xfId="13573" xr:uid="{9B74F073-FFD7-4FBA-9445-A477D6AF3986}"/>
    <cellStyle name="Normal 4 2 2 3 5 4" xfId="9355" xr:uid="{B4CA898F-F325-469B-8504-EA5A4BE82DF0}"/>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B70A40CA-FBD9-4559-9EF7-1A4B2779ED4E}"/>
    <cellStyle name="Normal 4 2 2 3 6 2 3" xfId="11913" xr:uid="{CCF98F8C-6F9C-4005-8787-D71B89FB81A1}"/>
    <cellStyle name="Normal 4 2 2 3 6 3" xfId="5544" xr:uid="{00000000-0005-0000-0000-000087120000}"/>
    <cellStyle name="Normal 4 2 2 3 6 3 2" xfId="13986" xr:uid="{FECADE3B-1F25-4660-A03A-FA2ED1D4E497}"/>
    <cellStyle name="Normal 4 2 2 3 6 4" xfId="9768" xr:uid="{729649A6-2539-4C3C-A205-E46E54D39FE5}"/>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B218AE06-F448-496B-9551-313D95C69EC1}"/>
    <cellStyle name="Normal 4 2 2 3 7 2 3" xfId="12326" xr:uid="{397CE0E5-29E4-4500-BF9D-D1BECF55BD85}"/>
    <cellStyle name="Normal 4 2 2 3 7 3" xfId="5957" xr:uid="{00000000-0005-0000-0000-00008B120000}"/>
    <cellStyle name="Normal 4 2 2 3 7 3 2" xfId="14399" xr:uid="{5C3C9CDA-9194-432D-A69F-4FD99194DB6D}"/>
    <cellStyle name="Normal 4 2 2 3 7 4" xfId="10181" xr:uid="{D5C77A41-BB80-4800-BD86-54F2971B15E0}"/>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5F81B94D-DF04-40C1-8255-5AB699B007EB}"/>
    <cellStyle name="Normal 4 2 2 3 8 2 3" xfId="12739" xr:uid="{C63450FE-BF55-4D4C-846D-E79F063A047B}"/>
    <cellStyle name="Normal 4 2 2 3 8 3" xfId="6370" xr:uid="{00000000-0005-0000-0000-00008F120000}"/>
    <cellStyle name="Normal 4 2 2 3 8 3 2" xfId="14812" xr:uid="{E5FFA5E0-69E8-414F-B230-95C1CA5C64CA}"/>
    <cellStyle name="Normal 4 2 2 3 8 4" xfId="10594" xr:uid="{CDCFAA0D-FD14-408F-8F45-0BD6C075388A}"/>
    <cellStyle name="Normal 4 2 2 3 9" xfId="2499" xr:uid="{00000000-0005-0000-0000-000090120000}"/>
    <cellStyle name="Normal 4 2 2 3 9 2" xfId="6783" xr:uid="{00000000-0005-0000-0000-000091120000}"/>
    <cellStyle name="Normal 4 2 2 3 9 2 2" xfId="15225" xr:uid="{BA272EE4-32B3-4C32-886A-662306411FEF}"/>
    <cellStyle name="Normal 4 2 2 3 9 3" xfId="11007" xr:uid="{70E355C9-F9CE-453A-BCC6-DAD8625C862C}"/>
    <cellStyle name="Normal 4 2 2 4" xfId="347" xr:uid="{00000000-0005-0000-0000-000092120000}"/>
    <cellStyle name="Normal 4 2 2 4 10" xfId="8950" xr:uid="{E9E5FCB2-5BFA-4B77-89E1-D55B948061AB}"/>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52DE756A-6F10-4E14-A02C-5F3780C7EAC5}"/>
    <cellStyle name="Normal 4 2 2 4 2 2 2 2 3" xfId="11510" xr:uid="{3EDC3319-A6B5-4639-A765-8303BF143D67}"/>
    <cellStyle name="Normal 4 2 2 4 2 2 2 3" xfId="5141" xr:uid="{00000000-0005-0000-0000-000098120000}"/>
    <cellStyle name="Normal 4 2 2 4 2 2 2 3 2" xfId="13583" xr:uid="{B2588B40-90F4-43C5-9261-6DF9D112BB27}"/>
    <cellStyle name="Normal 4 2 2 4 2 2 2 4" xfId="9365" xr:uid="{9269435E-D5E0-4DEB-A4E0-591B78EF8F09}"/>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4C61D5C2-55E5-422F-A811-673B629D13FF}"/>
    <cellStyle name="Normal 4 2 2 4 2 2 3 2 3" xfId="11923" xr:uid="{7D4BD5FE-130C-4F31-B50C-2D4F5B571E82}"/>
    <cellStyle name="Normal 4 2 2 4 2 2 3 3" xfId="5554" xr:uid="{00000000-0005-0000-0000-00009C120000}"/>
    <cellStyle name="Normal 4 2 2 4 2 2 3 3 2" xfId="13996" xr:uid="{0C5E031B-32E6-4FE3-9E05-2FB20DA7B22E}"/>
    <cellStyle name="Normal 4 2 2 4 2 2 3 4" xfId="9778" xr:uid="{6FD11DC3-8E5F-4423-9A30-E963326E138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16E31080-A10D-412B-9345-C441FE75990D}"/>
    <cellStyle name="Normal 4 2 2 4 2 2 4 2 3" xfId="12336" xr:uid="{2BA01E0A-6D5C-4797-B636-D19C474A619A}"/>
    <cellStyle name="Normal 4 2 2 4 2 2 4 3" xfId="5967" xr:uid="{00000000-0005-0000-0000-0000A0120000}"/>
    <cellStyle name="Normal 4 2 2 4 2 2 4 3 2" xfId="14409" xr:uid="{D2853C36-DDC0-4D23-8EDC-1E82D8D9B012}"/>
    <cellStyle name="Normal 4 2 2 4 2 2 4 4" xfId="10191" xr:uid="{A5A861F1-FF80-4D6A-A1F7-85895A1286E6}"/>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6F178165-6826-4567-90F7-2574B6A175FF}"/>
    <cellStyle name="Normal 4 2 2 4 2 2 5 2 3" xfId="12749" xr:uid="{9F02ED95-D136-4C3C-9608-FD8775A4B129}"/>
    <cellStyle name="Normal 4 2 2 4 2 2 5 3" xfId="6380" xr:uid="{00000000-0005-0000-0000-0000A4120000}"/>
    <cellStyle name="Normal 4 2 2 4 2 2 5 3 2" xfId="14822" xr:uid="{81D498AB-DECB-4F32-BE3D-3A90639006D1}"/>
    <cellStyle name="Normal 4 2 2 4 2 2 5 4" xfId="10604" xr:uid="{4FAF9D38-7BBC-44A5-99A6-EC63101F16BA}"/>
    <cellStyle name="Normal 4 2 2 4 2 2 6" xfId="2509" xr:uid="{00000000-0005-0000-0000-0000A5120000}"/>
    <cellStyle name="Normal 4 2 2 4 2 2 6 2" xfId="6793" xr:uid="{00000000-0005-0000-0000-0000A6120000}"/>
    <cellStyle name="Normal 4 2 2 4 2 2 6 2 2" xfId="15235" xr:uid="{07A3921D-AB4C-4686-94ED-8EFA3511AA93}"/>
    <cellStyle name="Normal 4 2 2 4 2 2 6 3" xfId="11017" xr:uid="{CEB245FA-AC72-479E-9267-90CE05842E67}"/>
    <cellStyle name="Normal 4 2 2 4 2 2 7" xfId="4728" xr:uid="{00000000-0005-0000-0000-0000A7120000}"/>
    <cellStyle name="Normal 4 2 2 4 2 2 7 2" xfId="13170" xr:uid="{6A44A368-466E-4D48-A9A9-CDED83AF3823}"/>
    <cellStyle name="Normal 4 2 2 4 2 2 8" xfId="8952" xr:uid="{B1FA35CC-B516-4B3D-9283-9CFD49B8BF64}"/>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53822EE4-68EF-403A-8FDD-E0ADA857E90C}"/>
    <cellStyle name="Normal 4 2 2 4 2 3 2 3" xfId="11509" xr:uid="{12B6FCB6-00EE-44E4-8FAC-28CCC6B962A4}"/>
    <cellStyle name="Normal 4 2 2 4 2 3 3" xfId="5140" xr:uid="{00000000-0005-0000-0000-0000AB120000}"/>
    <cellStyle name="Normal 4 2 2 4 2 3 3 2" xfId="13582" xr:uid="{34059302-F927-4724-AA06-04AFC0E819DC}"/>
    <cellStyle name="Normal 4 2 2 4 2 3 4" xfId="9364" xr:uid="{FA8073C3-3F2F-4A45-BFF8-7711BD56A9F3}"/>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20845A26-32C6-4718-B733-B88BBBCF855B}"/>
    <cellStyle name="Normal 4 2 2 4 2 4 2 3" xfId="11922" xr:uid="{F8532978-678C-4445-A6D8-CF12A1359898}"/>
    <cellStyle name="Normal 4 2 2 4 2 4 3" xfId="5553" xr:uid="{00000000-0005-0000-0000-0000AF120000}"/>
    <cellStyle name="Normal 4 2 2 4 2 4 3 2" xfId="13995" xr:uid="{37263D32-407E-405C-B503-F00344018C6A}"/>
    <cellStyle name="Normal 4 2 2 4 2 4 4" xfId="9777" xr:uid="{A12353D5-FC5B-466C-A307-C23841C204F6}"/>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B5511256-AEBB-4C6B-AF68-D1B28D37B937}"/>
    <cellStyle name="Normal 4 2 2 4 2 5 2 3" xfId="12335" xr:uid="{9B19FBB1-56BD-4105-8A47-288DB40C5DF2}"/>
    <cellStyle name="Normal 4 2 2 4 2 5 3" xfId="5966" xr:uid="{00000000-0005-0000-0000-0000B3120000}"/>
    <cellStyle name="Normal 4 2 2 4 2 5 3 2" xfId="14408" xr:uid="{3D43EF61-6133-4414-A170-0EF4F16A17A6}"/>
    <cellStyle name="Normal 4 2 2 4 2 5 4" xfId="10190" xr:uid="{2BC407C7-C951-49F9-B095-54690EFA221D}"/>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D7A5ACED-12EA-4003-9100-F69F84E25075}"/>
    <cellStyle name="Normal 4 2 2 4 2 6 2 3" xfId="12748" xr:uid="{E17C6AF8-2EE4-494D-9321-D12EB13B930E}"/>
    <cellStyle name="Normal 4 2 2 4 2 6 3" xfId="6379" xr:uid="{00000000-0005-0000-0000-0000B7120000}"/>
    <cellStyle name="Normal 4 2 2 4 2 6 3 2" xfId="14821" xr:uid="{A5A7A313-85D2-4A65-9E6C-FCF26370A53E}"/>
    <cellStyle name="Normal 4 2 2 4 2 6 4" xfId="10603" xr:uid="{49026C98-29D8-4669-A9DC-A683D13BCDC7}"/>
    <cellStyle name="Normal 4 2 2 4 2 7" xfId="2508" xr:uid="{00000000-0005-0000-0000-0000B8120000}"/>
    <cellStyle name="Normal 4 2 2 4 2 7 2" xfId="6792" xr:uid="{00000000-0005-0000-0000-0000B9120000}"/>
    <cellStyle name="Normal 4 2 2 4 2 7 2 2" xfId="15234" xr:uid="{5F5BC53A-3DF5-411C-B70C-78190A5A94BB}"/>
    <cellStyle name="Normal 4 2 2 4 2 7 3" xfId="11016" xr:uid="{30CC1357-4369-4CA6-A0D1-981D8F7E1433}"/>
    <cellStyle name="Normal 4 2 2 4 2 8" xfId="4727" xr:uid="{00000000-0005-0000-0000-0000BA120000}"/>
    <cellStyle name="Normal 4 2 2 4 2 8 2" xfId="13169" xr:uid="{6582FFE2-D0D4-4C32-A15C-EDE8F70542A5}"/>
    <cellStyle name="Normal 4 2 2 4 2 9" xfId="8951" xr:uid="{683BC77E-D30F-4A41-BEF2-134135D4155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B7DF56B1-2826-49FC-AA7D-37EF61E7EB30}"/>
    <cellStyle name="Normal 4 2 2 4 3 2 2 3" xfId="11511" xr:uid="{7AE12424-AEE2-462C-9D45-A43F69767BF7}"/>
    <cellStyle name="Normal 4 2 2 4 3 2 3" xfId="5142" xr:uid="{00000000-0005-0000-0000-0000BF120000}"/>
    <cellStyle name="Normal 4 2 2 4 3 2 3 2" xfId="13584" xr:uid="{07C6A515-04C3-4465-BD0D-BDB5747EB1E8}"/>
    <cellStyle name="Normal 4 2 2 4 3 2 4" xfId="9366" xr:uid="{1EC2DC13-A9EB-4DA9-AC40-394F87CCB408}"/>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3812E398-6CAF-4A73-AA26-F06FC4538CCC}"/>
    <cellStyle name="Normal 4 2 2 4 3 3 2 3" xfId="11924" xr:uid="{55992105-E2B1-482A-95C3-8F6E3D80C20E}"/>
    <cellStyle name="Normal 4 2 2 4 3 3 3" xfId="5555" xr:uid="{00000000-0005-0000-0000-0000C3120000}"/>
    <cellStyle name="Normal 4 2 2 4 3 3 3 2" xfId="13997" xr:uid="{ADB7FE12-30EA-451C-B280-1C5DFE13C291}"/>
    <cellStyle name="Normal 4 2 2 4 3 3 4" xfId="9779" xr:uid="{C7F07FB0-A84A-4E09-8C87-8683959F2E01}"/>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AC22D0C2-425C-440C-98E2-4708E584D53F}"/>
    <cellStyle name="Normal 4 2 2 4 3 4 2 3" xfId="12337" xr:uid="{8C5A9F6E-58BA-4E84-8660-350773EDFF48}"/>
    <cellStyle name="Normal 4 2 2 4 3 4 3" xfId="5968" xr:uid="{00000000-0005-0000-0000-0000C7120000}"/>
    <cellStyle name="Normal 4 2 2 4 3 4 3 2" xfId="14410" xr:uid="{0847F16D-A19C-42EF-A6D6-C5DB6FC4365A}"/>
    <cellStyle name="Normal 4 2 2 4 3 4 4" xfId="10192" xr:uid="{9B0BC5C7-35FC-4F55-BB87-37F5E356F5DF}"/>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A0D53F17-7D8E-4AA0-A9AE-CF29F2631D61}"/>
    <cellStyle name="Normal 4 2 2 4 3 5 2 3" xfId="12750" xr:uid="{534A4AF8-AE36-4558-BBFD-63EB90703EE9}"/>
    <cellStyle name="Normal 4 2 2 4 3 5 3" xfId="6381" xr:uid="{00000000-0005-0000-0000-0000CB120000}"/>
    <cellStyle name="Normal 4 2 2 4 3 5 3 2" xfId="14823" xr:uid="{78C3D0C6-5CF9-4E06-95DC-223B31377EBD}"/>
    <cellStyle name="Normal 4 2 2 4 3 5 4" xfId="10605" xr:uid="{5CC39AA4-2539-4138-9C44-7327A131E071}"/>
    <cellStyle name="Normal 4 2 2 4 3 6" xfId="2510" xr:uid="{00000000-0005-0000-0000-0000CC120000}"/>
    <cellStyle name="Normal 4 2 2 4 3 6 2" xfId="6794" xr:uid="{00000000-0005-0000-0000-0000CD120000}"/>
    <cellStyle name="Normal 4 2 2 4 3 6 2 2" xfId="15236" xr:uid="{7510DDCD-3716-485F-A325-7BE5A9715A6C}"/>
    <cellStyle name="Normal 4 2 2 4 3 6 3" xfId="11018" xr:uid="{4C7F84E8-BEC0-40E4-9994-3F7EAC782414}"/>
    <cellStyle name="Normal 4 2 2 4 3 7" xfId="4729" xr:uid="{00000000-0005-0000-0000-0000CE120000}"/>
    <cellStyle name="Normal 4 2 2 4 3 7 2" xfId="13171" xr:uid="{7FF24F52-131C-48D8-A409-D049131FB713}"/>
    <cellStyle name="Normal 4 2 2 4 3 8" xfId="8953" xr:uid="{0EB64200-9D1D-4C41-98C0-E810C2C85BDF}"/>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ED6710A1-6CC2-42DB-935E-FCAFD81EFD35}"/>
    <cellStyle name="Normal 4 2 2 4 4 2 3" xfId="11508" xr:uid="{867B7304-012D-47D8-A1F0-992260262F7A}"/>
    <cellStyle name="Normal 4 2 2 4 4 3" xfId="5139" xr:uid="{00000000-0005-0000-0000-0000D2120000}"/>
    <cellStyle name="Normal 4 2 2 4 4 3 2" xfId="13581" xr:uid="{F404F41F-2744-428F-BD4F-6917E2868A96}"/>
    <cellStyle name="Normal 4 2 2 4 4 4" xfId="9363" xr:uid="{F1C1C95B-3686-4B0F-AE9E-141EC08D21BC}"/>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8F717036-B757-46C8-BB65-06B3895E782C}"/>
    <cellStyle name="Normal 4 2 2 4 5 2 3" xfId="11921" xr:uid="{B9CB23EB-5A57-4012-A20F-B26FA0C9F645}"/>
    <cellStyle name="Normal 4 2 2 4 5 3" xfId="5552" xr:uid="{00000000-0005-0000-0000-0000D6120000}"/>
    <cellStyle name="Normal 4 2 2 4 5 3 2" xfId="13994" xr:uid="{838A2469-B41B-47F9-AF71-97CA9E460634}"/>
    <cellStyle name="Normal 4 2 2 4 5 4" xfId="9776" xr:uid="{1EEE5403-C8AB-4C7D-B188-5F5A1886B1D7}"/>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2E271B07-A6F2-4D5C-9EE2-35C58404B201}"/>
    <cellStyle name="Normal 4 2 2 4 6 2 3" xfId="12334" xr:uid="{00DBDC7B-7B54-4AE4-962D-30F70BE62843}"/>
    <cellStyle name="Normal 4 2 2 4 6 3" xfId="5965" xr:uid="{00000000-0005-0000-0000-0000DA120000}"/>
    <cellStyle name="Normal 4 2 2 4 6 3 2" xfId="14407" xr:uid="{DAD129C3-42FB-4069-A6DB-796B7E75D53E}"/>
    <cellStyle name="Normal 4 2 2 4 6 4" xfId="10189" xr:uid="{FA585B24-1ED9-4905-8EAA-C7D5C96D94AD}"/>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B461E132-9273-48F7-A0C1-FB8461A076CB}"/>
    <cellStyle name="Normal 4 2 2 4 7 2 3" xfId="12747" xr:uid="{D56FF186-296B-432E-A071-490D68E26F69}"/>
    <cellStyle name="Normal 4 2 2 4 7 3" xfId="6378" xr:uid="{00000000-0005-0000-0000-0000DE120000}"/>
    <cellStyle name="Normal 4 2 2 4 7 3 2" xfId="14820" xr:uid="{8074C601-6CCC-433E-AA2E-10E85A008041}"/>
    <cellStyle name="Normal 4 2 2 4 7 4" xfId="10602" xr:uid="{AC32C07A-E9C0-4FA2-9BE6-34D5F2DAC39B}"/>
    <cellStyle name="Normal 4 2 2 4 8" xfId="2507" xr:uid="{00000000-0005-0000-0000-0000DF120000}"/>
    <cellStyle name="Normal 4 2 2 4 8 2" xfId="6791" xr:uid="{00000000-0005-0000-0000-0000E0120000}"/>
    <cellStyle name="Normal 4 2 2 4 8 2 2" xfId="15233" xr:uid="{65EC6A58-566B-484A-A7E1-CA0B498F530A}"/>
    <cellStyle name="Normal 4 2 2 4 8 3" xfId="11015" xr:uid="{78D22B4E-7E3E-4DA2-891B-3348AD0D01D2}"/>
    <cellStyle name="Normal 4 2 2 4 9" xfId="4726" xr:uid="{00000000-0005-0000-0000-0000E1120000}"/>
    <cellStyle name="Normal 4 2 2 4 9 2" xfId="13168" xr:uid="{C4E66EFF-2948-4BA2-8566-CEADC3CA32B8}"/>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7E0167B9-A0E3-48BA-8F0C-63C76D6B9928}"/>
    <cellStyle name="Normal 4 2 2 5 2 2 2 3" xfId="11513" xr:uid="{19984DEC-D4DA-4F9C-9CAE-F6270A7B7B02}"/>
    <cellStyle name="Normal 4 2 2 5 2 2 3" xfId="5144" xr:uid="{00000000-0005-0000-0000-0000E7120000}"/>
    <cellStyle name="Normal 4 2 2 5 2 2 3 2" xfId="13586" xr:uid="{4046487C-40B2-406C-A73E-90B3536FD5F6}"/>
    <cellStyle name="Normal 4 2 2 5 2 2 4" xfId="9368" xr:uid="{B9FE655C-EB07-4195-A666-867C128A73D6}"/>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796A49C0-5372-40BC-857C-D899B8E2A902}"/>
    <cellStyle name="Normal 4 2 2 5 2 3 2 3" xfId="11926" xr:uid="{190B970B-ED42-4741-B0F2-5795BFE33812}"/>
    <cellStyle name="Normal 4 2 2 5 2 3 3" xfId="5557" xr:uid="{00000000-0005-0000-0000-0000EB120000}"/>
    <cellStyle name="Normal 4 2 2 5 2 3 3 2" xfId="13999" xr:uid="{55E9F167-570F-48CE-89E6-1BE2883D9A41}"/>
    <cellStyle name="Normal 4 2 2 5 2 3 4" xfId="9781" xr:uid="{07601F6A-A5FD-413D-B6DA-00E30234EBC4}"/>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42CDBAB0-9A47-46AC-ADE5-EF1A401A283A}"/>
    <cellStyle name="Normal 4 2 2 5 2 4 2 3" xfId="12339" xr:uid="{E82F466A-16BE-4DEA-B8D9-874CDE1F78FE}"/>
    <cellStyle name="Normal 4 2 2 5 2 4 3" xfId="5970" xr:uid="{00000000-0005-0000-0000-0000EF120000}"/>
    <cellStyle name="Normal 4 2 2 5 2 4 3 2" xfId="14412" xr:uid="{BFF32C0F-AB67-42C2-9881-807E7D5D4409}"/>
    <cellStyle name="Normal 4 2 2 5 2 4 4" xfId="10194" xr:uid="{97630188-7E11-44DC-ADCB-476435AC98B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08EA7376-1EE6-4B65-8D26-994DF23725E3}"/>
    <cellStyle name="Normal 4 2 2 5 2 5 2 3" xfId="12752" xr:uid="{4DAA7841-428D-49DB-A35B-9DD15F1AECD9}"/>
    <cellStyle name="Normal 4 2 2 5 2 5 3" xfId="6383" xr:uid="{00000000-0005-0000-0000-0000F3120000}"/>
    <cellStyle name="Normal 4 2 2 5 2 5 3 2" xfId="14825" xr:uid="{F29F94BA-9D27-480A-9E19-57A0B7D4C4AD}"/>
    <cellStyle name="Normal 4 2 2 5 2 5 4" xfId="10607" xr:uid="{CD1D8909-E24B-462E-BDE8-00F28C40CD34}"/>
    <cellStyle name="Normal 4 2 2 5 2 6" xfId="2512" xr:uid="{00000000-0005-0000-0000-0000F4120000}"/>
    <cellStyle name="Normal 4 2 2 5 2 6 2" xfId="6796" xr:uid="{00000000-0005-0000-0000-0000F5120000}"/>
    <cellStyle name="Normal 4 2 2 5 2 6 2 2" xfId="15238" xr:uid="{7A177EA3-4EB0-41CA-B6C1-246BF0848217}"/>
    <cellStyle name="Normal 4 2 2 5 2 6 3" xfId="11020" xr:uid="{CE2BB023-F452-4B73-9A50-3ACE3F1299B4}"/>
    <cellStyle name="Normal 4 2 2 5 2 7" xfId="4731" xr:uid="{00000000-0005-0000-0000-0000F6120000}"/>
    <cellStyle name="Normal 4 2 2 5 2 7 2" xfId="13173" xr:uid="{1A9145FE-AB0F-4136-B39D-90376F46CF82}"/>
    <cellStyle name="Normal 4 2 2 5 2 8" xfId="8955" xr:uid="{29C20045-5264-48D1-B149-682EF5F69B2E}"/>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3C54F985-E1FF-48DC-9247-7AF4750217AC}"/>
    <cellStyle name="Normal 4 2 2 5 3 2 3" xfId="11512" xr:uid="{0C832615-BF83-404F-BF93-CB6339E1563A}"/>
    <cellStyle name="Normal 4 2 2 5 3 3" xfId="5143" xr:uid="{00000000-0005-0000-0000-0000FA120000}"/>
    <cellStyle name="Normal 4 2 2 5 3 3 2" xfId="13585" xr:uid="{7B137453-47B7-442E-8957-599DC26D015E}"/>
    <cellStyle name="Normal 4 2 2 5 3 4" xfId="9367" xr:uid="{3F272B81-F58D-4E51-A09F-2FFFC6249D29}"/>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B7163D35-47DB-45A9-B12E-0E936B76C99F}"/>
    <cellStyle name="Normal 4 2 2 5 4 2 3" xfId="11925" xr:uid="{511DEB18-D187-4AF4-9BEC-423B77EC3E49}"/>
    <cellStyle name="Normal 4 2 2 5 4 3" xfId="5556" xr:uid="{00000000-0005-0000-0000-0000FE120000}"/>
    <cellStyle name="Normal 4 2 2 5 4 3 2" xfId="13998" xr:uid="{801AFB41-5D23-4BD4-83E4-D421F929DF8F}"/>
    <cellStyle name="Normal 4 2 2 5 4 4" xfId="9780" xr:uid="{43DF9C06-029C-4B9F-BA88-79A3A04838E0}"/>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64880206-93B0-4097-893C-3E7392C9570B}"/>
    <cellStyle name="Normal 4 2 2 5 5 2 3" xfId="12338" xr:uid="{115092E6-C532-418A-AAF1-1D998F4C0481}"/>
    <cellStyle name="Normal 4 2 2 5 5 3" xfId="5969" xr:uid="{00000000-0005-0000-0000-000002130000}"/>
    <cellStyle name="Normal 4 2 2 5 5 3 2" xfId="14411" xr:uid="{73B71B98-4229-468C-B09D-70C8BEA7D749}"/>
    <cellStyle name="Normal 4 2 2 5 5 4" xfId="10193" xr:uid="{EBB5F9C6-34C7-4BF6-902A-3AD60BA63445}"/>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8BEED0D0-E9ED-4E7A-B664-3602715F3E6A}"/>
    <cellStyle name="Normal 4 2 2 5 6 2 3" xfId="12751" xr:uid="{3ECAF67D-34AF-4639-B513-1CEFFD408ED0}"/>
    <cellStyle name="Normal 4 2 2 5 6 3" xfId="6382" xr:uid="{00000000-0005-0000-0000-000006130000}"/>
    <cellStyle name="Normal 4 2 2 5 6 3 2" xfId="14824" xr:uid="{67B58CE1-2F3E-490E-B52D-B8894D222230}"/>
    <cellStyle name="Normal 4 2 2 5 6 4" xfId="10606" xr:uid="{3BECBE08-7CF1-42DE-9004-88C82A58687C}"/>
    <cellStyle name="Normal 4 2 2 5 7" xfId="2511" xr:uid="{00000000-0005-0000-0000-000007130000}"/>
    <cellStyle name="Normal 4 2 2 5 7 2" xfId="6795" xr:uid="{00000000-0005-0000-0000-000008130000}"/>
    <cellStyle name="Normal 4 2 2 5 7 2 2" xfId="15237" xr:uid="{D4DBB081-3605-490F-9609-566AE7055F7B}"/>
    <cellStyle name="Normal 4 2 2 5 7 3" xfId="11019" xr:uid="{F0F97B32-131F-4CE0-AA88-0D291DA5FB6D}"/>
    <cellStyle name="Normal 4 2 2 5 8" xfId="4730" xr:uid="{00000000-0005-0000-0000-000009130000}"/>
    <cellStyle name="Normal 4 2 2 5 8 2" xfId="13172" xr:uid="{075CDE96-9EFE-4D9C-A339-BE50FD05D36D}"/>
    <cellStyle name="Normal 4 2 2 5 9" xfId="8954" xr:uid="{29FF38F8-F1C7-4FFD-B6F2-18DB487DC5B4}"/>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8501EC2A-1A53-42C5-A17D-16E2054B8CD5}"/>
    <cellStyle name="Normal 4 2 2 6 2 2 3" xfId="11514" xr:uid="{EF88AE49-64FB-4E65-9C8F-D100342EBB43}"/>
    <cellStyle name="Normal 4 2 2 6 2 3" xfId="5145" xr:uid="{00000000-0005-0000-0000-00000E130000}"/>
    <cellStyle name="Normal 4 2 2 6 2 3 2" xfId="13587" xr:uid="{809D3BB8-D980-4405-9969-56D4E7EB81F4}"/>
    <cellStyle name="Normal 4 2 2 6 2 4" xfId="9369" xr:uid="{28108041-327C-4D9B-B050-224279D47CC0}"/>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DBF845E7-0234-401A-9B6B-82D8F59370BC}"/>
    <cellStyle name="Normal 4 2 2 6 3 2 3" xfId="11927" xr:uid="{BFD02738-609B-48D7-8C4C-B44CD0B18F4F}"/>
    <cellStyle name="Normal 4 2 2 6 3 3" xfId="5558" xr:uid="{00000000-0005-0000-0000-000012130000}"/>
    <cellStyle name="Normal 4 2 2 6 3 3 2" xfId="14000" xr:uid="{7B300E73-EDAD-49EA-BC67-B3C4B53AE2E4}"/>
    <cellStyle name="Normal 4 2 2 6 3 4" xfId="9782" xr:uid="{E7965096-AF51-4E07-A5EF-43D48EDABDC2}"/>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B2B00E2D-0544-48F6-B7E6-F28DC2A08792}"/>
    <cellStyle name="Normal 4 2 2 6 4 2 3" xfId="12340" xr:uid="{1FF60A03-27FC-425D-9DBF-67FE96637769}"/>
    <cellStyle name="Normal 4 2 2 6 4 3" xfId="5971" xr:uid="{00000000-0005-0000-0000-000016130000}"/>
    <cellStyle name="Normal 4 2 2 6 4 3 2" xfId="14413" xr:uid="{0FC1EBAB-0441-4EB5-A298-4C4A2778C833}"/>
    <cellStyle name="Normal 4 2 2 6 4 4" xfId="10195" xr:uid="{8ABF5438-037D-4360-8851-CDF7BE2052C7}"/>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4AFD2154-C5EB-4686-AEBC-AD759461F102}"/>
    <cellStyle name="Normal 4 2 2 6 5 2 3" xfId="12753" xr:uid="{5D7DB2CC-9E61-426C-88E2-ABE04356A06F}"/>
    <cellStyle name="Normal 4 2 2 6 5 3" xfId="6384" xr:uid="{00000000-0005-0000-0000-00001A130000}"/>
    <cellStyle name="Normal 4 2 2 6 5 3 2" xfId="14826" xr:uid="{75C49099-9989-4A7D-99A0-A908D5FA3BF0}"/>
    <cellStyle name="Normal 4 2 2 6 5 4" xfId="10608" xr:uid="{BF18B7A7-2B1A-47C8-BEDE-E7399EA514E7}"/>
    <cellStyle name="Normal 4 2 2 6 6" xfId="2513" xr:uid="{00000000-0005-0000-0000-00001B130000}"/>
    <cellStyle name="Normal 4 2 2 6 6 2" xfId="6797" xr:uid="{00000000-0005-0000-0000-00001C130000}"/>
    <cellStyle name="Normal 4 2 2 6 6 2 2" xfId="15239" xr:uid="{94ED7125-43FA-4CCF-A915-77E2BB231E86}"/>
    <cellStyle name="Normal 4 2 2 6 6 3" xfId="11021" xr:uid="{67F29477-247A-475B-A7C1-9C6A49675B91}"/>
    <cellStyle name="Normal 4 2 2 6 7" xfId="4732" xr:uid="{00000000-0005-0000-0000-00001D130000}"/>
    <cellStyle name="Normal 4 2 2 6 7 2" xfId="13174" xr:uid="{D5A6C42E-FE00-4357-92B1-0BBE0E64C1AB}"/>
    <cellStyle name="Normal 4 2 2 6 8" xfId="8956" xr:uid="{1BB4FBB1-3D8A-435C-97AB-15277CB2FDEC}"/>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59E3E7B4-1CED-4E63-8082-4468BFE696C8}"/>
    <cellStyle name="Normal 4 2 2 7 2 3" xfId="11499" xr:uid="{E3A92783-6B5A-4E33-BCA0-99A63E6F87C7}"/>
    <cellStyle name="Normal 4 2 2 7 3" xfId="5130" xr:uid="{00000000-0005-0000-0000-000021130000}"/>
    <cellStyle name="Normal 4 2 2 7 3 2" xfId="13572" xr:uid="{A7750C21-9E2C-4F85-B4D1-B20B50CFD5AB}"/>
    <cellStyle name="Normal 4 2 2 7 4" xfId="9354" xr:uid="{9531B027-CA6B-49D5-BC87-43B990E7040C}"/>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56A301F5-9B01-4826-A7B6-F406ED6E0EDA}"/>
    <cellStyle name="Normal 4 2 2 8 2 3" xfId="11912" xr:uid="{2FF58701-4BE5-4443-86D5-60A52BAFC393}"/>
    <cellStyle name="Normal 4 2 2 8 3" xfId="5543" xr:uid="{00000000-0005-0000-0000-000025130000}"/>
    <cellStyle name="Normal 4 2 2 8 3 2" xfId="13985" xr:uid="{16852B2B-9851-4E28-985D-6D4683BC01C6}"/>
    <cellStyle name="Normal 4 2 2 8 4" xfId="9767" xr:uid="{7070C17A-F959-414A-BA3D-C50FBDC2B3D4}"/>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CDCD148C-3422-4C32-AB89-5410ADC25DE5}"/>
    <cellStyle name="Normal 4 2 2 9 2 3" xfId="12325" xr:uid="{4816B82B-2DDC-49C7-8355-0E1D805763F8}"/>
    <cellStyle name="Normal 4 2 2 9 3" xfId="5956" xr:uid="{00000000-0005-0000-0000-000029130000}"/>
    <cellStyle name="Normal 4 2 2 9 3 2" xfId="14398" xr:uid="{39C3C351-E130-4718-8876-1119B1B3EDA1}"/>
    <cellStyle name="Normal 4 2 2 9 4" xfId="10180" xr:uid="{9994D756-194D-4DE4-A2A2-269BD0834963}"/>
    <cellStyle name="Normal 4 2 3" xfId="354" xr:uid="{00000000-0005-0000-0000-00002A130000}"/>
    <cellStyle name="Normal 4 2 4" xfId="355" xr:uid="{00000000-0005-0000-0000-00002B130000}"/>
    <cellStyle name="Normal 4 2 4 10" xfId="4733" xr:uid="{00000000-0005-0000-0000-00002C130000}"/>
    <cellStyle name="Normal 4 2 4 10 2" xfId="13175" xr:uid="{7EC1A6AA-C3F5-4A9B-AF2D-EB1E535B947C}"/>
    <cellStyle name="Normal 4 2 4 11" xfId="8957" xr:uid="{809D6507-3BC6-42FA-8B4A-F9F5DE256EAD}"/>
    <cellStyle name="Normal 4 2 4 2" xfId="356" xr:uid="{00000000-0005-0000-0000-00002D130000}"/>
    <cellStyle name="Normal 4 2 4 2 10" xfId="8958" xr:uid="{83132E4B-D22C-46ED-AAEA-E3A46B449D3A}"/>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4BE8FAFF-FEEF-4331-BF59-3531EAE31482}"/>
    <cellStyle name="Normal 4 2 4 2 2 2 2 2 3" xfId="11518" xr:uid="{67803379-EAAB-4D51-A610-DDF26802FCA8}"/>
    <cellStyle name="Normal 4 2 4 2 2 2 2 3" xfId="5149" xr:uid="{00000000-0005-0000-0000-000033130000}"/>
    <cellStyle name="Normal 4 2 4 2 2 2 2 3 2" xfId="13591" xr:uid="{020BF438-BCEA-48C0-9D0D-B8E9F8222C33}"/>
    <cellStyle name="Normal 4 2 4 2 2 2 2 4" xfId="9373" xr:uid="{CA250927-14CA-489B-A8DB-BC06F7B3A4E4}"/>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812DFF02-B080-4BD7-BB70-734189E5EAE0}"/>
    <cellStyle name="Normal 4 2 4 2 2 2 3 2 3" xfId="11931" xr:uid="{D1853285-CAC7-4481-90C6-E4108F6E647D}"/>
    <cellStyle name="Normal 4 2 4 2 2 2 3 3" xfId="5562" xr:uid="{00000000-0005-0000-0000-000037130000}"/>
    <cellStyle name="Normal 4 2 4 2 2 2 3 3 2" xfId="14004" xr:uid="{220DB79C-976B-4D4A-A923-9C61155F4DAA}"/>
    <cellStyle name="Normal 4 2 4 2 2 2 3 4" xfId="9786" xr:uid="{BD3F13D6-D452-4A76-BD04-3DD2C8021D41}"/>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AB00241E-59A5-4380-947F-6C801ACA5EBE}"/>
    <cellStyle name="Normal 4 2 4 2 2 2 4 2 3" xfId="12344" xr:uid="{FFD6DBB7-AB29-401A-BD8B-AD213E011B8D}"/>
    <cellStyle name="Normal 4 2 4 2 2 2 4 3" xfId="5975" xr:uid="{00000000-0005-0000-0000-00003B130000}"/>
    <cellStyle name="Normal 4 2 4 2 2 2 4 3 2" xfId="14417" xr:uid="{27358E4A-E8DC-4A46-A95D-28AFF999F4D3}"/>
    <cellStyle name="Normal 4 2 4 2 2 2 4 4" xfId="10199" xr:uid="{82B1444F-01D5-4AE7-ADDE-0A4EEE191F29}"/>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70394F7E-F4F2-4F38-BE15-B12ADCA3FA00}"/>
    <cellStyle name="Normal 4 2 4 2 2 2 5 2 3" xfId="12757" xr:uid="{84D15D90-8A2B-4F01-8B09-BC18B4B8B976}"/>
    <cellStyle name="Normal 4 2 4 2 2 2 5 3" xfId="6388" xr:uid="{00000000-0005-0000-0000-00003F130000}"/>
    <cellStyle name="Normal 4 2 4 2 2 2 5 3 2" xfId="14830" xr:uid="{8717F7B0-4492-4E0B-9211-B1658D3AE5E9}"/>
    <cellStyle name="Normal 4 2 4 2 2 2 5 4" xfId="10612" xr:uid="{2656785C-69E3-4A51-AC83-A425164E9010}"/>
    <cellStyle name="Normal 4 2 4 2 2 2 6" xfId="2517" xr:uid="{00000000-0005-0000-0000-000040130000}"/>
    <cellStyle name="Normal 4 2 4 2 2 2 6 2" xfId="6801" xr:uid="{00000000-0005-0000-0000-000041130000}"/>
    <cellStyle name="Normal 4 2 4 2 2 2 6 2 2" xfId="15243" xr:uid="{393D3791-ADAB-4647-818C-3E3812C42F1A}"/>
    <cellStyle name="Normal 4 2 4 2 2 2 6 3" xfId="11025" xr:uid="{C6B32298-F4DC-416D-B644-E4C5443107A6}"/>
    <cellStyle name="Normal 4 2 4 2 2 2 7" xfId="4736" xr:uid="{00000000-0005-0000-0000-000042130000}"/>
    <cellStyle name="Normal 4 2 4 2 2 2 7 2" xfId="13178" xr:uid="{57598EA5-24DE-4731-B689-2D6301F93C7C}"/>
    <cellStyle name="Normal 4 2 4 2 2 2 8" xfId="8960" xr:uid="{28200416-844F-409F-98DE-06BC77A96E66}"/>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38AE9A42-FCA0-468C-B3D8-2B9AEE599AA5}"/>
    <cellStyle name="Normal 4 2 4 2 2 3 2 3" xfId="11517" xr:uid="{E72E507F-2544-4BFC-B3AB-6E230CC6FE25}"/>
    <cellStyle name="Normal 4 2 4 2 2 3 3" xfId="5148" xr:uid="{00000000-0005-0000-0000-000046130000}"/>
    <cellStyle name="Normal 4 2 4 2 2 3 3 2" xfId="13590" xr:uid="{C032C9C3-856D-4C5A-A743-2C586849DA02}"/>
    <cellStyle name="Normal 4 2 4 2 2 3 4" xfId="9372" xr:uid="{EAD977FB-5332-4002-B31C-677D280C7EF6}"/>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321F0F5A-4ECE-48A0-B348-A9E5DCE4C8C3}"/>
    <cellStyle name="Normal 4 2 4 2 2 4 2 3" xfId="11930" xr:uid="{970155F0-5B15-4765-8371-E23CC856362E}"/>
    <cellStyle name="Normal 4 2 4 2 2 4 3" xfId="5561" xr:uid="{00000000-0005-0000-0000-00004A130000}"/>
    <cellStyle name="Normal 4 2 4 2 2 4 3 2" xfId="14003" xr:uid="{D156978E-55C9-40DD-898A-BD64F1309F97}"/>
    <cellStyle name="Normal 4 2 4 2 2 4 4" xfId="9785" xr:uid="{035DE7F8-D4E4-44DA-8237-8AAE678C6B5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6C5B49B6-BB14-41E3-860D-B7933928C175}"/>
    <cellStyle name="Normal 4 2 4 2 2 5 2 3" xfId="12343" xr:uid="{DDEEDA7E-4F36-4009-814A-DC59A1830FA0}"/>
    <cellStyle name="Normal 4 2 4 2 2 5 3" xfId="5974" xr:uid="{00000000-0005-0000-0000-00004E130000}"/>
    <cellStyle name="Normal 4 2 4 2 2 5 3 2" xfId="14416" xr:uid="{BEDC8A33-2C59-48D7-9309-63219C5C9EBC}"/>
    <cellStyle name="Normal 4 2 4 2 2 5 4" xfId="10198" xr:uid="{A1FE32DE-C549-43A2-A61C-BD6FD3FB2A93}"/>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C002757D-6E4C-4BB0-A1DD-124685A7D162}"/>
    <cellStyle name="Normal 4 2 4 2 2 6 2 3" xfId="12756" xr:uid="{5C4AF765-6BD1-414C-B1C7-F657EC867EE6}"/>
    <cellStyle name="Normal 4 2 4 2 2 6 3" xfId="6387" xr:uid="{00000000-0005-0000-0000-000052130000}"/>
    <cellStyle name="Normal 4 2 4 2 2 6 3 2" xfId="14829" xr:uid="{510A955D-8F68-41A3-A91E-D621192A52F3}"/>
    <cellStyle name="Normal 4 2 4 2 2 6 4" xfId="10611" xr:uid="{9B95CEAF-24F1-483A-ABE1-780CBEB587E7}"/>
    <cellStyle name="Normal 4 2 4 2 2 7" xfId="2516" xr:uid="{00000000-0005-0000-0000-000053130000}"/>
    <cellStyle name="Normal 4 2 4 2 2 7 2" xfId="6800" xr:uid="{00000000-0005-0000-0000-000054130000}"/>
    <cellStyle name="Normal 4 2 4 2 2 7 2 2" xfId="15242" xr:uid="{8AE04F96-80D7-4BC8-93E3-0F5298BA6CDC}"/>
    <cellStyle name="Normal 4 2 4 2 2 7 3" xfId="11024" xr:uid="{05340C75-848B-4F9C-B053-A366CD13EBC2}"/>
    <cellStyle name="Normal 4 2 4 2 2 8" xfId="4735" xr:uid="{00000000-0005-0000-0000-000055130000}"/>
    <cellStyle name="Normal 4 2 4 2 2 8 2" xfId="13177" xr:uid="{A311F441-6D79-4210-A9BE-3ABF1E77683A}"/>
    <cellStyle name="Normal 4 2 4 2 2 9" xfId="8959" xr:uid="{0B7B1BBE-BB43-4188-9B5A-30C9F9AFEA9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CDD9C61E-4CA4-4F0D-B4CB-7B08BF3CAE08}"/>
    <cellStyle name="Normal 4 2 4 2 3 2 2 3" xfId="11519" xr:uid="{DBC758B8-0E01-46F3-8C1E-C177939E1D72}"/>
    <cellStyle name="Normal 4 2 4 2 3 2 3" xfId="5150" xr:uid="{00000000-0005-0000-0000-00005A130000}"/>
    <cellStyle name="Normal 4 2 4 2 3 2 3 2" xfId="13592" xr:uid="{8075A394-71B9-4798-8022-6259AA54F2F4}"/>
    <cellStyle name="Normal 4 2 4 2 3 2 4" xfId="9374" xr:uid="{24F204C8-48DC-4C6C-AF76-7BE06D25DA43}"/>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1BD48183-C52E-425D-B1D6-C03F4D037111}"/>
    <cellStyle name="Normal 4 2 4 2 3 3 2 3" xfId="11932" xr:uid="{6D36D289-E306-4923-8688-A61FB744D0EB}"/>
    <cellStyle name="Normal 4 2 4 2 3 3 3" xfId="5563" xr:uid="{00000000-0005-0000-0000-00005E130000}"/>
    <cellStyle name="Normal 4 2 4 2 3 3 3 2" xfId="14005" xr:uid="{F9214A07-35A8-4694-870D-20DDF5E3114C}"/>
    <cellStyle name="Normal 4 2 4 2 3 3 4" xfId="9787" xr:uid="{663FD1BE-BE42-490C-8856-4EA45E525C5C}"/>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2793BF63-995B-4343-B434-2D6719849341}"/>
    <cellStyle name="Normal 4 2 4 2 3 4 2 3" xfId="12345" xr:uid="{D749D70F-0090-4050-85DF-2D6093263C1D}"/>
    <cellStyle name="Normal 4 2 4 2 3 4 3" xfId="5976" xr:uid="{00000000-0005-0000-0000-000062130000}"/>
    <cellStyle name="Normal 4 2 4 2 3 4 3 2" xfId="14418" xr:uid="{43960627-1AF7-4D62-881A-0CBF986FE328}"/>
    <cellStyle name="Normal 4 2 4 2 3 4 4" xfId="10200" xr:uid="{743DD9AF-66E5-44FB-A680-01ECE6706657}"/>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0AABC95E-FD6A-4F25-87EC-37B16E709A2E}"/>
    <cellStyle name="Normal 4 2 4 2 3 5 2 3" xfId="12758" xr:uid="{B570E005-3A4F-429F-A24A-28F69C61D762}"/>
    <cellStyle name="Normal 4 2 4 2 3 5 3" xfId="6389" xr:uid="{00000000-0005-0000-0000-000066130000}"/>
    <cellStyle name="Normal 4 2 4 2 3 5 3 2" xfId="14831" xr:uid="{8B75F718-4F2F-4868-B0EF-8DBC1CAB3635}"/>
    <cellStyle name="Normal 4 2 4 2 3 5 4" xfId="10613" xr:uid="{8B7A3EA4-3F1E-4552-930B-3440E3CC3065}"/>
    <cellStyle name="Normal 4 2 4 2 3 6" xfId="2518" xr:uid="{00000000-0005-0000-0000-000067130000}"/>
    <cellStyle name="Normal 4 2 4 2 3 6 2" xfId="6802" xr:uid="{00000000-0005-0000-0000-000068130000}"/>
    <cellStyle name="Normal 4 2 4 2 3 6 2 2" xfId="15244" xr:uid="{DFAC5AD8-2D62-4EEB-A171-9DEC83B17FF6}"/>
    <cellStyle name="Normal 4 2 4 2 3 6 3" xfId="11026" xr:uid="{79C5C374-C0D3-4B55-953B-8C41AD386A60}"/>
    <cellStyle name="Normal 4 2 4 2 3 7" xfId="4737" xr:uid="{00000000-0005-0000-0000-000069130000}"/>
    <cellStyle name="Normal 4 2 4 2 3 7 2" xfId="13179" xr:uid="{DBE0B77D-6B6A-4630-8341-08C414087F06}"/>
    <cellStyle name="Normal 4 2 4 2 3 8" xfId="8961" xr:uid="{4EEAF776-36DD-4952-B4E6-D83444CEF9F4}"/>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BFF318AD-CED7-4F83-9C08-CCBF2C084B5B}"/>
    <cellStyle name="Normal 4 2 4 2 4 2 3" xfId="11516" xr:uid="{C82E3D3C-18B2-42F3-B67E-E1ABB9993744}"/>
    <cellStyle name="Normal 4 2 4 2 4 3" xfId="5147" xr:uid="{00000000-0005-0000-0000-00006D130000}"/>
    <cellStyle name="Normal 4 2 4 2 4 3 2" xfId="13589" xr:uid="{F6FCB98F-005D-441B-A309-1A6100735AF5}"/>
    <cellStyle name="Normal 4 2 4 2 4 4" xfId="9371" xr:uid="{C26AD01C-8135-4EC7-988C-D52499683DBB}"/>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212224B0-55E5-4B26-BD21-0BE5CA34364C}"/>
    <cellStyle name="Normal 4 2 4 2 5 2 3" xfId="11929" xr:uid="{63E8C84C-99E7-495C-B7C5-088524FDE76F}"/>
    <cellStyle name="Normal 4 2 4 2 5 3" xfId="5560" xr:uid="{00000000-0005-0000-0000-000071130000}"/>
    <cellStyle name="Normal 4 2 4 2 5 3 2" xfId="14002" xr:uid="{873EC00E-F659-4078-B239-6A9EDFF8CBA7}"/>
    <cellStyle name="Normal 4 2 4 2 5 4" xfId="9784" xr:uid="{CA6921A8-607C-4AAE-9F80-FEE6BC40FE03}"/>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89A64966-1ADA-4016-95A3-56A52E6269B5}"/>
    <cellStyle name="Normal 4 2 4 2 6 2 3" xfId="12342" xr:uid="{6825C4CA-6CDC-4F61-BB6B-03E6D423AB36}"/>
    <cellStyle name="Normal 4 2 4 2 6 3" xfId="5973" xr:uid="{00000000-0005-0000-0000-000075130000}"/>
    <cellStyle name="Normal 4 2 4 2 6 3 2" xfId="14415" xr:uid="{4269D948-C745-4F97-B6B5-E76CF96E6A7A}"/>
    <cellStyle name="Normal 4 2 4 2 6 4" xfId="10197" xr:uid="{0182BC83-22F4-4B2F-A686-CFE0C7CF1591}"/>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9A43E721-4E51-4BA9-8257-30EDA2D2C8ED}"/>
    <cellStyle name="Normal 4 2 4 2 7 2 3" xfId="12755" xr:uid="{581A3DAC-800E-4263-AED7-8AAC7580581E}"/>
    <cellStyle name="Normal 4 2 4 2 7 3" xfId="6386" xr:uid="{00000000-0005-0000-0000-000079130000}"/>
    <cellStyle name="Normal 4 2 4 2 7 3 2" xfId="14828" xr:uid="{50A4A9B1-54FC-443F-A55C-8585EDE8682C}"/>
    <cellStyle name="Normal 4 2 4 2 7 4" xfId="10610" xr:uid="{6E7BFF7F-BD9D-4BD6-AA51-41A14DDFD9A4}"/>
    <cellStyle name="Normal 4 2 4 2 8" xfId="2515" xr:uid="{00000000-0005-0000-0000-00007A130000}"/>
    <cellStyle name="Normal 4 2 4 2 8 2" xfId="6799" xr:uid="{00000000-0005-0000-0000-00007B130000}"/>
    <cellStyle name="Normal 4 2 4 2 8 2 2" xfId="15241" xr:uid="{DA72C823-A9A1-4F53-B9C2-59C3A3D39317}"/>
    <cellStyle name="Normal 4 2 4 2 8 3" xfId="11023" xr:uid="{99EDD686-4EE0-4E67-9B37-864BCE6AA0CC}"/>
    <cellStyle name="Normal 4 2 4 2 9" xfId="4734" xr:uid="{00000000-0005-0000-0000-00007C130000}"/>
    <cellStyle name="Normal 4 2 4 2 9 2" xfId="13176" xr:uid="{33178112-5946-46CE-B03F-40C727512EA4}"/>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BFFA063D-CA0E-4490-BA76-475D5D58666A}"/>
    <cellStyle name="Normal 4 2 4 3 2 2 2 3" xfId="11521" xr:uid="{1063CBED-A054-41F9-BD42-6D39AC42027D}"/>
    <cellStyle name="Normal 4 2 4 3 2 2 3" xfId="5152" xr:uid="{00000000-0005-0000-0000-000082130000}"/>
    <cellStyle name="Normal 4 2 4 3 2 2 3 2" xfId="13594" xr:uid="{83982C59-C114-4832-B452-B3A1082BB2F8}"/>
    <cellStyle name="Normal 4 2 4 3 2 2 4" xfId="9376" xr:uid="{E24EBF75-429A-4CAA-BEE4-9A2F68E7AE6C}"/>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A90DDD0E-21BA-47ED-8E97-DD01E3B2B203}"/>
    <cellStyle name="Normal 4 2 4 3 2 3 2 3" xfId="11934" xr:uid="{FF766F7B-D3F3-48CB-B880-D0383FF34FC2}"/>
    <cellStyle name="Normal 4 2 4 3 2 3 3" xfId="5565" xr:uid="{00000000-0005-0000-0000-000086130000}"/>
    <cellStyle name="Normal 4 2 4 3 2 3 3 2" xfId="14007" xr:uid="{BC96920A-7C76-44D8-94CE-4DE8A9CC959E}"/>
    <cellStyle name="Normal 4 2 4 3 2 3 4" xfId="9789" xr:uid="{A93D6327-C3D0-485E-9B30-7BA8B20B5F09}"/>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2AB027FB-3F30-40AC-9BAC-5B9D8BFB3A4A}"/>
    <cellStyle name="Normal 4 2 4 3 2 4 2 3" xfId="12347" xr:uid="{714E7D25-00BE-469C-A429-BDF87CB5A7DE}"/>
    <cellStyle name="Normal 4 2 4 3 2 4 3" xfId="5978" xr:uid="{00000000-0005-0000-0000-00008A130000}"/>
    <cellStyle name="Normal 4 2 4 3 2 4 3 2" xfId="14420" xr:uid="{756F635F-88F3-4F90-B789-9381311ABD90}"/>
    <cellStyle name="Normal 4 2 4 3 2 4 4" xfId="10202" xr:uid="{A53B2049-889A-4741-81BB-6DF44D4A3A12}"/>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EC8737E1-EFED-4DAD-9A65-24274089C8F0}"/>
    <cellStyle name="Normal 4 2 4 3 2 5 2 3" xfId="12760" xr:uid="{9F5E4E24-2C4B-47CE-B34B-25E6212BB9EC}"/>
    <cellStyle name="Normal 4 2 4 3 2 5 3" xfId="6391" xr:uid="{00000000-0005-0000-0000-00008E130000}"/>
    <cellStyle name="Normal 4 2 4 3 2 5 3 2" xfId="14833" xr:uid="{7EC07F85-FD7E-4244-B74E-1B56005C9CD2}"/>
    <cellStyle name="Normal 4 2 4 3 2 5 4" xfId="10615" xr:uid="{E36D296A-3A1E-4F19-8A7B-BF4CE05A750F}"/>
    <cellStyle name="Normal 4 2 4 3 2 6" xfId="2520" xr:uid="{00000000-0005-0000-0000-00008F130000}"/>
    <cellStyle name="Normal 4 2 4 3 2 6 2" xfId="6804" xr:uid="{00000000-0005-0000-0000-000090130000}"/>
    <cellStyle name="Normal 4 2 4 3 2 6 2 2" xfId="15246" xr:uid="{06DB5653-6DD5-4879-99D9-104943EEFBB4}"/>
    <cellStyle name="Normal 4 2 4 3 2 6 3" xfId="11028" xr:uid="{598D7840-F817-40A5-844E-DC3BD7904056}"/>
    <cellStyle name="Normal 4 2 4 3 2 7" xfId="4739" xr:uid="{00000000-0005-0000-0000-000091130000}"/>
    <cellStyle name="Normal 4 2 4 3 2 7 2" xfId="13181" xr:uid="{95F11514-4951-474E-9336-B7E47679DB9A}"/>
    <cellStyle name="Normal 4 2 4 3 2 8" xfId="8963" xr:uid="{EF51433A-9E10-4AD8-8B0A-7514B753BC5B}"/>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93273D59-401E-4D4B-9295-53997A502B07}"/>
    <cellStyle name="Normal 4 2 4 3 3 2 3" xfId="11520" xr:uid="{4A0A949C-965C-49ED-9D8A-5873C57FD00A}"/>
    <cellStyle name="Normal 4 2 4 3 3 3" xfId="5151" xr:uid="{00000000-0005-0000-0000-000095130000}"/>
    <cellStyle name="Normal 4 2 4 3 3 3 2" xfId="13593" xr:uid="{3FCE9C2E-1668-4167-A8D0-715F0EAC71F5}"/>
    <cellStyle name="Normal 4 2 4 3 3 4" xfId="9375" xr:uid="{22668C7F-0024-4742-A211-D110C7AA5CCC}"/>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535CE7C2-111D-4D84-BE3A-30EE25E979B8}"/>
    <cellStyle name="Normal 4 2 4 3 4 2 3" xfId="11933" xr:uid="{0316EB25-DFFC-469C-9576-BF2B2EE99C50}"/>
    <cellStyle name="Normal 4 2 4 3 4 3" xfId="5564" xr:uid="{00000000-0005-0000-0000-000099130000}"/>
    <cellStyle name="Normal 4 2 4 3 4 3 2" xfId="14006" xr:uid="{5A616AFB-F4DC-4D2C-917F-B8C9C1A193AC}"/>
    <cellStyle name="Normal 4 2 4 3 4 4" xfId="9788" xr:uid="{66D6C5AA-2CD9-4DF6-A4F3-D2917C4FAB2D}"/>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1F30F62B-D501-47EF-A6A3-720359481440}"/>
    <cellStyle name="Normal 4 2 4 3 5 2 3" xfId="12346" xr:uid="{5C3E8EB8-B541-4539-BE7C-2CF7A7CD2F72}"/>
    <cellStyle name="Normal 4 2 4 3 5 3" xfId="5977" xr:uid="{00000000-0005-0000-0000-00009D130000}"/>
    <cellStyle name="Normal 4 2 4 3 5 3 2" xfId="14419" xr:uid="{398186A6-0726-47E9-8A46-8BE89D7E0F12}"/>
    <cellStyle name="Normal 4 2 4 3 5 4" xfId="10201" xr:uid="{D2C6D34C-6A7C-4612-A129-034812F03041}"/>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E8E06C4B-591B-472B-8C11-1944F527C106}"/>
    <cellStyle name="Normal 4 2 4 3 6 2 3" xfId="12759" xr:uid="{C60D0BDC-0EB0-4C7A-A639-E6B6B9EBDF92}"/>
    <cellStyle name="Normal 4 2 4 3 6 3" xfId="6390" xr:uid="{00000000-0005-0000-0000-0000A1130000}"/>
    <cellStyle name="Normal 4 2 4 3 6 3 2" xfId="14832" xr:uid="{260A1F40-54FF-4883-9680-D3AE3E50182B}"/>
    <cellStyle name="Normal 4 2 4 3 6 4" xfId="10614" xr:uid="{F73CFCC1-C306-47D3-8131-D922D911BB43}"/>
    <cellStyle name="Normal 4 2 4 3 7" xfId="2519" xr:uid="{00000000-0005-0000-0000-0000A2130000}"/>
    <cellStyle name="Normal 4 2 4 3 7 2" xfId="6803" xr:uid="{00000000-0005-0000-0000-0000A3130000}"/>
    <cellStyle name="Normal 4 2 4 3 7 2 2" xfId="15245" xr:uid="{87323E89-30C0-4A92-966F-566197AB8059}"/>
    <cellStyle name="Normal 4 2 4 3 7 3" xfId="11027" xr:uid="{28BC3711-3FEE-4CC5-A28E-007A5E2DF829}"/>
    <cellStyle name="Normal 4 2 4 3 8" xfId="4738" xr:uid="{00000000-0005-0000-0000-0000A4130000}"/>
    <cellStyle name="Normal 4 2 4 3 8 2" xfId="13180" xr:uid="{B23ACE97-C374-4ED7-9069-88E82A9FBE14}"/>
    <cellStyle name="Normal 4 2 4 3 9" xfId="8962" xr:uid="{95A9513B-AC73-482C-9455-2683FB7E813A}"/>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1C88CF72-A210-48B6-B4BF-B8CCC9015111}"/>
    <cellStyle name="Normal 4 2 4 4 2 2 3" xfId="11522" xr:uid="{CA405387-8C7F-4324-A3DF-F2CA52CE70B3}"/>
    <cellStyle name="Normal 4 2 4 4 2 3" xfId="5153" xr:uid="{00000000-0005-0000-0000-0000A9130000}"/>
    <cellStyle name="Normal 4 2 4 4 2 3 2" xfId="13595" xr:uid="{E5D5B2DC-BBAF-4F74-A96D-C3BE953A1B1E}"/>
    <cellStyle name="Normal 4 2 4 4 2 4" xfId="9377" xr:uid="{DF47D7C1-9499-4665-8A08-21564D855292}"/>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DB93A04A-9415-4515-9415-7FB2A2E73B76}"/>
    <cellStyle name="Normal 4 2 4 4 3 2 3" xfId="11935" xr:uid="{654A78BD-9050-4183-9B7B-C249DCA8F61E}"/>
    <cellStyle name="Normal 4 2 4 4 3 3" xfId="5566" xr:uid="{00000000-0005-0000-0000-0000AD130000}"/>
    <cellStyle name="Normal 4 2 4 4 3 3 2" xfId="14008" xr:uid="{544791FD-BFE7-404C-8802-F4993AD8FCA8}"/>
    <cellStyle name="Normal 4 2 4 4 3 4" xfId="9790" xr:uid="{28539058-6094-4CE8-B27D-E715B65EF24C}"/>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81E2A030-E58F-413E-9A12-A99C33F6522C}"/>
    <cellStyle name="Normal 4 2 4 4 4 2 3" xfId="12348" xr:uid="{83A4AB5F-5B87-4E7F-ABB3-EE739C6D105A}"/>
    <cellStyle name="Normal 4 2 4 4 4 3" xfId="5979" xr:uid="{00000000-0005-0000-0000-0000B1130000}"/>
    <cellStyle name="Normal 4 2 4 4 4 3 2" xfId="14421" xr:uid="{07EC86CF-9462-4C88-A2EF-09268E99DFA1}"/>
    <cellStyle name="Normal 4 2 4 4 4 4" xfId="10203" xr:uid="{F5B41004-FCB7-42A9-8CF3-9559099F80AD}"/>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F3F963D1-8977-4E3F-98FC-3A3D10B4E250}"/>
    <cellStyle name="Normal 4 2 4 4 5 2 3" xfId="12761" xr:uid="{A5FA9A49-E83B-4982-90E5-DF118EB902EA}"/>
    <cellStyle name="Normal 4 2 4 4 5 3" xfId="6392" xr:uid="{00000000-0005-0000-0000-0000B5130000}"/>
    <cellStyle name="Normal 4 2 4 4 5 3 2" xfId="14834" xr:uid="{67347796-2316-421F-89C2-DD500A03F6EE}"/>
    <cellStyle name="Normal 4 2 4 4 5 4" xfId="10616" xr:uid="{9F8522BC-6EB5-4740-95D8-CDB808119047}"/>
    <cellStyle name="Normal 4 2 4 4 6" xfId="2521" xr:uid="{00000000-0005-0000-0000-0000B6130000}"/>
    <cellStyle name="Normal 4 2 4 4 6 2" xfId="6805" xr:uid="{00000000-0005-0000-0000-0000B7130000}"/>
    <cellStyle name="Normal 4 2 4 4 6 2 2" xfId="15247" xr:uid="{41650AAD-2131-461D-A1DC-665480464866}"/>
    <cellStyle name="Normal 4 2 4 4 6 3" xfId="11029" xr:uid="{3FC7AD9A-B3C7-4184-B593-045A29278E69}"/>
    <cellStyle name="Normal 4 2 4 4 7" xfId="4740" xr:uid="{00000000-0005-0000-0000-0000B8130000}"/>
    <cellStyle name="Normal 4 2 4 4 7 2" xfId="13182" xr:uid="{CB314E88-E31F-4899-AA11-10802E8DD257}"/>
    <cellStyle name="Normal 4 2 4 4 8" xfId="8964" xr:uid="{ACA93778-671D-440D-8C32-05C6EC489BC6}"/>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B2160C3D-5244-4EB4-B8E2-3F292C0BA476}"/>
    <cellStyle name="Normal 4 2 4 5 2 3" xfId="11515" xr:uid="{000A83CC-9FA2-45A7-A46D-EBEA2D460441}"/>
    <cellStyle name="Normal 4 2 4 5 3" xfId="5146" xr:uid="{00000000-0005-0000-0000-0000BC130000}"/>
    <cellStyle name="Normal 4 2 4 5 3 2" xfId="13588" xr:uid="{2C43AA40-1800-43CD-B559-BF51E978EA01}"/>
    <cellStyle name="Normal 4 2 4 5 4" xfId="9370" xr:uid="{883BBB7D-CECD-4B48-A0CC-834278DCD73F}"/>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4DEC6CD6-BB34-44E5-B9B0-F7A6AEC2D468}"/>
    <cellStyle name="Normal 4 2 4 6 2 3" xfId="11928" xr:uid="{E06C5AEB-6DC8-4602-A537-C8C09CA5A813}"/>
    <cellStyle name="Normal 4 2 4 6 3" xfId="5559" xr:uid="{00000000-0005-0000-0000-0000C0130000}"/>
    <cellStyle name="Normal 4 2 4 6 3 2" xfId="14001" xr:uid="{E4222E65-CFFF-4805-BBFC-9C42429F7E62}"/>
    <cellStyle name="Normal 4 2 4 6 4" xfId="9783" xr:uid="{E986903E-7ED7-46CC-9E6D-D28C6CC073D8}"/>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E1527131-4637-4828-938A-5C4BCF359834}"/>
    <cellStyle name="Normal 4 2 4 7 2 3" xfId="12341" xr:uid="{D2141E2F-A1A0-413D-A55D-AA6EAF8203F3}"/>
    <cellStyle name="Normal 4 2 4 7 3" xfId="5972" xr:uid="{00000000-0005-0000-0000-0000C4130000}"/>
    <cellStyle name="Normal 4 2 4 7 3 2" xfId="14414" xr:uid="{0EF3A337-8040-4598-996D-329BD59DD371}"/>
    <cellStyle name="Normal 4 2 4 7 4" xfId="10196" xr:uid="{2110FFA2-DDE1-490C-BC7E-927DDF0DB0EE}"/>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FB3F26D1-C78E-4663-B4D5-8C9743EE1CA5}"/>
    <cellStyle name="Normal 4 2 4 8 2 3" xfId="12754" xr:uid="{AA629F3F-7A48-4E25-ACC3-773C716BF7FF}"/>
    <cellStyle name="Normal 4 2 4 8 3" xfId="6385" xr:uid="{00000000-0005-0000-0000-0000C8130000}"/>
    <cellStyle name="Normal 4 2 4 8 3 2" xfId="14827" xr:uid="{1C77B76B-1BA4-4E56-9E4B-336E5CC103A0}"/>
    <cellStyle name="Normal 4 2 4 8 4" xfId="10609" xr:uid="{02B2F23A-71B0-4C63-B813-032DE9D89E92}"/>
    <cellStyle name="Normal 4 2 4 9" xfId="2514" xr:uid="{00000000-0005-0000-0000-0000C9130000}"/>
    <cellStyle name="Normal 4 2 4 9 2" xfId="6798" xr:uid="{00000000-0005-0000-0000-0000CA130000}"/>
    <cellStyle name="Normal 4 2 4 9 2 2" xfId="15240" xr:uid="{276E861E-45C7-42B4-8BAE-CFDB465740C1}"/>
    <cellStyle name="Normal 4 2 4 9 3" xfId="11022" xr:uid="{3C61E7A9-CF74-4048-A521-7F57AC3BA201}"/>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389D23FC-8211-48ED-9594-46C475CB811B}"/>
    <cellStyle name="Normal 4 2 5 2 2 2 3" xfId="11524" xr:uid="{D071ED9A-6A15-469B-B9B5-9F87D740FBA3}"/>
    <cellStyle name="Normal 4 2 5 2 2 3" xfId="5155" xr:uid="{00000000-0005-0000-0000-0000D0130000}"/>
    <cellStyle name="Normal 4 2 5 2 2 3 2" xfId="13597" xr:uid="{81EC09B8-194B-4B16-8B13-CC89BC73AF18}"/>
    <cellStyle name="Normal 4 2 5 2 2 4" xfId="9379" xr:uid="{6DFC1A8D-FD56-47FA-961B-7E6FFEE49C49}"/>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00608C00-5666-44FE-8616-4020D2008B57}"/>
    <cellStyle name="Normal 4 2 5 2 3 2 3" xfId="11937" xr:uid="{EE133FC8-3F5B-470A-B7C5-3EF1A43D83F8}"/>
    <cellStyle name="Normal 4 2 5 2 3 3" xfId="5568" xr:uid="{00000000-0005-0000-0000-0000D4130000}"/>
    <cellStyle name="Normal 4 2 5 2 3 3 2" xfId="14010" xr:uid="{E7652CC1-A95E-4C88-A31E-E6EF42808B37}"/>
    <cellStyle name="Normal 4 2 5 2 3 4" xfId="9792" xr:uid="{45B6D178-5CF1-432B-AD17-03C140D9C60C}"/>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E810C62E-9651-406A-9E05-FA9BB5DD1CD6}"/>
    <cellStyle name="Normal 4 2 5 2 4 2 3" xfId="12350" xr:uid="{C105F730-046C-49C8-8685-7B2A65E9384B}"/>
    <cellStyle name="Normal 4 2 5 2 4 3" xfId="5981" xr:uid="{00000000-0005-0000-0000-0000D8130000}"/>
    <cellStyle name="Normal 4 2 5 2 4 3 2" xfId="14423" xr:uid="{0E31DC7B-1520-4FA4-92C8-DF5D5050E341}"/>
    <cellStyle name="Normal 4 2 5 2 4 4" xfId="10205" xr:uid="{A3AB9877-C9A3-4C5B-9D4E-59DBEC2E0374}"/>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6397D14D-78D9-4CE9-96D2-E1EE19DE5BE6}"/>
    <cellStyle name="Normal 4 2 5 2 5 2 3" xfId="12763" xr:uid="{B52B27EC-17EE-41CC-AF96-3D8268709593}"/>
    <cellStyle name="Normal 4 2 5 2 5 3" xfId="6394" xr:uid="{00000000-0005-0000-0000-0000DC130000}"/>
    <cellStyle name="Normal 4 2 5 2 5 3 2" xfId="14836" xr:uid="{BBE2A3BB-EA6D-4A9F-9AEC-7CE9DE0A43C4}"/>
    <cellStyle name="Normal 4 2 5 2 5 4" xfId="10618" xr:uid="{2A4EA361-BE22-4CF8-B3C8-1413DB4EDD6F}"/>
    <cellStyle name="Normal 4 2 5 2 6" xfId="2523" xr:uid="{00000000-0005-0000-0000-0000DD130000}"/>
    <cellStyle name="Normal 4 2 5 2 6 2" xfId="6807" xr:uid="{00000000-0005-0000-0000-0000DE130000}"/>
    <cellStyle name="Normal 4 2 5 2 6 2 2" xfId="15249" xr:uid="{8E44A31C-1FED-4839-B8E8-9432406813BB}"/>
    <cellStyle name="Normal 4 2 5 2 6 3" xfId="11031" xr:uid="{762D4B2C-543B-4281-B9B9-95DD16A90435}"/>
    <cellStyle name="Normal 4 2 5 2 7" xfId="4742" xr:uid="{00000000-0005-0000-0000-0000DF130000}"/>
    <cellStyle name="Normal 4 2 5 2 7 2" xfId="13184" xr:uid="{92396E3D-1618-4FCC-A335-1A82ACCEE383}"/>
    <cellStyle name="Normal 4 2 5 2 8" xfId="8966" xr:uid="{FE8974DF-CFC9-4EE2-8226-5F42A92A52D4}"/>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7302D2D6-C854-4809-9D66-65E3C7829D72}"/>
    <cellStyle name="Normal 4 2 5 3 2 3" xfId="11523" xr:uid="{2A25F953-7832-4807-876B-AACD5B5B1796}"/>
    <cellStyle name="Normal 4 2 5 3 3" xfId="5154" xr:uid="{00000000-0005-0000-0000-0000E3130000}"/>
    <cellStyle name="Normal 4 2 5 3 3 2" xfId="13596" xr:uid="{ACF4E828-4A02-49FF-B174-81381A0B7E53}"/>
    <cellStyle name="Normal 4 2 5 3 4" xfId="9378" xr:uid="{662BB25D-FB78-4B5D-BBE3-9CED4F5D37F4}"/>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52BCD7A0-46F9-4B78-B1B2-42F77C277345}"/>
    <cellStyle name="Normal 4 2 5 4 2 3" xfId="11936" xr:uid="{4DF40781-A8BC-4507-867A-181DF6ECABD6}"/>
    <cellStyle name="Normal 4 2 5 4 3" xfId="5567" xr:uid="{00000000-0005-0000-0000-0000E7130000}"/>
    <cellStyle name="Normal 4 2 5 4 3 2" xfId="14009" xr:uid="{9059AC2E-B309-42B0-9E0C-829B43B4DF05}"/>
    <cellStyle name="Normal 4 2 5 4 4" xfId="9791" xr:uid="{D478B694-F586-464E-BC30-BF31592D08D1}"/>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9F82BB5E-BA8F-4338-BA4A-C3321D798050}"/>
    <cellStyle name="Normal 4 2 5 5 2 3" xfId="12349" xr:uid="{B2E7FF1F-300A-4D5C-B7B3-159797F82E07}"/>
    <cellStyle name="Normal 4 2 5 5 3" xfId="5980" xr:uid="{00000000-0005-0000-0000-0000EB130000}"/>
    <cellStyle name="Normal 4 2 5 5 3 2" xfId="14422" xr:uid="{7E379060-3985-430D-BC72-FD9D9E2E6557}"/>
    <cellStyle name="Normal 4 2 5 5 4" xfId="10204" xr:uid="{133CF6FA-0171-43FD-8778-2AE445068A50}"/>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836EC393-260B-408C-8C25-6FA66B0DDB4B}"/>
    <cellStyle name="Normal 4 2 5 6 2 3" xfId="12762" xr:uid="{28348C8C-B680-4018-B16C-532BB532C192}"/>
    <cellStyle name="Normal 4 2 5 6 3" xfId="6393" xr:uid="{00000000-0005-0000-0000-0000EF130000}"/>
    <cellStyle name="Normal 4 2 5 6 3 2" xfId="14835" xr:uid="{F34DED3F-5295-4900-9D82-CEBFB0EC3291}"/>
    <cellStyle name="Normal 4 2 5 6 4" xfId="10617" xr:uid="{1503FD5A-8F08-4E16-81FE-4F67F2A6014B}"/>
    <cellStyle name="Normal 4 2 5 7" xfId="2522" xr:uid="{00000000-0005-0000-0000-0000F0130000}"/>
    <cellStyle name="Normal 4 2 5 7 2" xfId="6806" xr:uid="{00000000-0005-0000-0000-0000F1130000}"/>
    <cellStyle name="Normal 4 2 5 7 2 2" xfId="15248" xr:uid="{B8E5DCA2-6858-4975-A4CF-25CBBE59F01B}"/>
    <cellStyle name="Normal 4 2 5 7 3" xfId="11030" xr:uid="{77721B0B-250E-4B67-AF4C-47A7D6758C48}"/>
    <cellStyle name="Normal 4 2 5 8" xfId="4741" xr:uid="{00000000-0005-0000-0000-0000F2130000}"/>
    <cellStyle name="Normal 4 2 5 8 2" xfId="13183" xr:uid="{F0526994-9F45-435F-B4C6-CBB98DD406FD}"/>
    <cellStyle name="Normal 4 2 5 9" xfId="8965" xr:uid="{8FBA1ECE-63C1-402C-9682-A8C816CFFA16}"/>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92050E87-6A7C-484F-A928-8AFCE279CA59}"/>
    <cellStyle name="Normal 4 2 6 2 2 3" xfId="11525" xr:uid="{4E12CB62-7151-49F0-8127-839713E4CB09}"/>
    <cellStyle name="Normal 4 2 6 2 3" xfId="5156" xr:uid="{00000000-0005-0000-0000-0000F7130000}"/>
    <cellStyle name="Normal 4 2 6 2 3 2" xfId="13598" xr:uid="{19EEA860-1827-4A39-934C-3E61DAA4E2EE}"/>
    <cellStyle name="Normal 4 2 6 2 4" xfId="9380" xr:uid="{660E62C5-95E3-4EAC-B0ED-38C5B793FDA9}"/>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57E8DB39-9E5C-4FE4-BF68-C3D100E46EDC}"/>
    <cellStyle name="Normal 4 2 6 3 2 3" xfId="11938" xr:uid="{7D25FB9A-CA0E-4CF0-ABDF-4EA8B39C8E3C}"/>
    <cellStyle name="Normal 4 2 6 3 3" xfId="5569" xr:uid="{00000000-0005-0000-0000-0000FB130000}"/>
    <cellStyle name="Normal 4 2 6 3 3 2" xfId="14011" xr:uid="{E58B19A7-060E-4B28-92C0-933B107CA9DA}"/>
    <cellStyle name="Normal 4 2 6 3 4" xfId="9793" xr:uid="{04EF89B0-67CF-4497-8B85-9682186FCD18}"/>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C4CC845A-2B23-471C-A15B-9DAE12E939C3}"/>
    <cellStyle name="Normal 4 2 6 4 2 3" xfId="12351" xr:uid="{DA75B5E7-B115-4444-8A04-AFADF2ED2FA5}"/>
    <cellStyle name="Normal 4 2 6 4 3" xfId="5982" xr:uid="{00000000-0005-0000-0000-0000FF130000}"/>
    <cellStyle name="Normal 4 2 6 4 3 2" xfId="14424" xr:uid="{212AFE00-7B43-40CE-A525-E77899F50B7C}"/>
    <cellStyle name="Normal 4 2 6 4 4" xfId="10206" xr:uid="{1183B11C-3F02-4070-9B28-0CB51EB0F9D0}"/>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D4B85B38-5133-432E-A375-14E94B52256C}"/>
    <cellStyle name="Normal 4 2 6 5 2 3" xfId="12764" xr:uid="{E6F13C01-6C1D-4573-996E-205FF5BF39C6}"/>
    <cellStyle name="Normal 4 2 6 5 3" xfId="6395" xr:uid="{00000000-0005-0000-0000-000003140000}"/>
    <cellStyle name="Normal 4 2 6 5 3 2" xfId="14837" xr:uid="{4BF46E11-4155-40BD-B8EF-6D62FDC5C6E9}"/>
    <cellStyle name="Normal 4 2 6 5 4" xfId="10619" xr:uid="{10A66B34-9C8C-4989-8B3B-3296334F14CD}"/>
    <cellStyle name="Normal 4 2 6 6" xfId="2524" xr:uid="{00000000-0005-0000-0000-000004140000}"/>
    <cellStyle name="Normal 4 2 6 6 2" xfId="6808" xr:uid="{00000000-0005-0000-0000-000005140000}"/>
    <cellStyle name="Normal 4 2 6 6 2 2" xfId="15250" xr:uid="{05EDCE0B-EB31-4240-9BC3-EDD88A3E5BBD}"/>
    <cellStyle name="Normal 4 2 6 6 3" xfId="11032" xr:uid="{F3C23205-6AA6-445A-B601-D8579D931F27}"/>
    <cellStyle name="Normal 4 2 6 7" xfId="4743" xr:uid="{00000000-0005-0000-0000-000006140000}"/>
    <cellStyle name="Normal 4 2 6 7 2" xfId="13185" xr:uid="{555A8205-7606-48E5-8D32-66DE3E6179FF}"/>
    <cellStyle name="Normal 4 2 6 8" xfId="8967" xr:uid="{4B528BD8-2A9B-4C0D-BCC6-449DEC477A48}"/>
    <cellStyle name="Normal 4 3" xfId="366" xr:uid="{00000000-0005-0000-0000-000007140000}"/>
    <cellStyle name="Normal 4 3 10" xfId="8968" xr:uid="{9B92A436-0F79-4CE1-8F01-E727AAE20972}"/>
    <cellStyle name="Normal 4 3 2" xfId="367" xr:uid="{00000000-0005-0000-0000-000008140000}"/>
    <cellStyle name="Normal 4 3 2 2" xfId="368" xr:uid="{00000000-0005-0000-0000-000009140000}"/>
    <cellStyle name="Normal 4 3 2 2 2" xfId="369" xr:uid="{00000000-0005-0000-0000-00000A140000}"/>
    <cellStyle name="Normal 4 3 2 2 2 10" xfId="8969" xr:uid="{6E808976-C6D6-45DA-8A7B-D310EC6676A7}"/>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C1EBD4B5-D5FD-4BB6-ADE5-7B604EC87BAB}"/>
    <cellStyle name="Normal 4 3 2 2 2 2 2 2 2 3" xfId="11529" xr:uid="{3DB449D9-5918-4C61-85CD-EEB0175870E5}"/>
    <cellStyle name="Normal 4 3 2 2 2 2 2 2 3" xfId="5160" xr:uid="{00000000-0005-0000-0000-000010140000}"/>
    <cellStyle name="Normal 4 3 2 2 2 2 2 2 3 2" xfId="13602" xr:uid="{0CC7C454-2E57-4B7F-B8C0-30738BF3954A}"/>
    <cellStyle name="Normal 4 3 2 2 2 2 2 2 4" xfId="9384" xr:uid="{A3991BD7-4BFE-49CE-A036-EBA0984F568C}"/>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8DD5DE2C-AD06-4BE9-8F06-1CB7F9C6197F}"/>
    <cellStyle name="Normal 4 3 2 2 2 2 2 3 2 3" xfId="11942" xr:uid="{2AB4C237-C32C-4181-9484-6FBA99C5D195}"/>
    <cellStyle name="Normal 4 3 2 2 2 2 2 3 3" xfId="5573" xr:uid="{00000000-0005-0000-0000-000014140000}"/>
    <cellStyle name="Normal 4 3 2 2 2 2 2 3 3 2" xfId="14015" xr:uid="{554DF971-BC35-4DD3-B528-46397FA4DA19}"/>
    <cellStyle name="Normal 4 3 2 2 2 2 2 3 4" xfId="9797" xr:uid="{92B36B16-E1DD-4B41-B5A7-8AC7ECF99324}"/>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541EFD06-6A61-4B9B-90D3-9D49A8DF323B}"/>
    <cellStyle name="Normal 4 3 2 2 2 2 2 4 2 3" xfId="12355" xr:uid="{40054A21-1180-4E78-A0D0-1D6DDE830FEB}"/>
    <cellStyle name="Normal 4 3 2 2 2 2 2 4 3" xfId="5986" xr:uid="{00000000-0005-0000-0000-000018140000}"/>
    <cellStyle name="Normal 4 3 2 2 2 2 2 4 3 2" xfId="14428" xr:uid="{BF623813-6C6E-49D5-B092-4294C06A6CCF}"/>
    <cellStyle name="Normal 4 3 2 2 2 2 2 4 4" xfId="10210" xr:uid="{2D3725EE-F13B-4693-BBC2-2DD10BE136E8}"/>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898B1B60-077D-4C7E-B551-F45370BBA080}"/>
    <cellStyle name="Normal 4 3 2 2 2 2 2 5 2 3" xfId="12768" xr:uid="{C9589043-2BB2-45C1-95AF-843F6E454015}"/>
    <cellStyle name="Normal 4 3 2 2 2 2 2 5 3" xfId="6399" xr:uid="{00000000-0005-0000-0000-00001C140000}"/>
    <cellStyle name="Normal 4 3 2 2 2 2 2 5 3 2" xfId="14841" xr:uid="{16CCBD16-35DE-4236-AA88-F4BAAE8A6BF8}"/>
    <cellStyle name="Normal 4 3 2 2 2 2 2 5 4" xfId="10623" xr:uid="{005A1A11-C458-40C1-8057-7F123103D16D}"/>
    <cellStyle name="Normal 4 3 2 2 2 2 2 6" xfId="2528" xr:uid="{00000000-0005-0000-0000-00001D140000}"/>
    <cellStyle name="Normal 4 3 2 2 2 2 2 6 2" xfId="6812" xr:uid="{00000000-0005-0000-0000-00001E140000}"/>
    <cellStyle name="Normal 4 3 2 2 2 2 2 6 2 2" xfId="15254" xr:uid="{6BBBA563-2B94-4E76-B149-B84FC5E38AFC}"/>
    <cellStyle name="Normal 4 3 2 2 2 2 2 6 3" xfId="11036" xr:uid="{6994339D-F5FD-4677-AC45-C0B132792478}"/>
    <cellStyle name="Normal 4 3 2 2 2 2 2 7" xfId="4747" xr:uid="{00000000-0005-0000-0000-00001F140000}"/>
    <cellStyle name="Normal 4 3 2 2 2 2 2 7 2" xfId="13189" xr:uid="{791E7BB8-0F16-4DD5-9F4C-95EE74DB058C}"/>
    <cellStyle name="Normal 4 3 2 2 2 2 2 8" xfId="8971" xr:uid="{3A6F8FA0-D557-498E-80D3-DF4F469FAC4F}"/>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947B4BE7-D678-4B30-BF65-A4D2FE96D915}"/>
    <cellStyle name="Normal 4 3 2 2 2 2 3 2 3" xfId="11528" xr:uid="{5A5E074F-244E-4EC0-B1DF-8D11AFDDEC5E}"/>
    <cellStyle name="Normal 4 3 2 2 2 2 3 3" xfId="5159" xr:uid="{00000000-0005-0000-0000-000023140000}"/>
    <cellStyle name="Normal 4 3 2 2 2 2 3 3 2" xfId="13601" xr:uid="{E7F51AA7-229E-4DE0-B17E-04C4466AE1F5}"/>
    <cellStyle name="Normal 4 3 2 2 2 2 3 4" xfId="9383" xr:uid="{B6597267-0027-45B8-846A-703D10604D84}"/>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C054A8BE-7CDD-4FAB-93F5-853E22FE5AEE}"/>
    <cellStyle name="Normal 4 3 2 2 2 2 4 2 3" xfId="11941" xr:uid="{C5C30C11-10B5-4DD9-A401-FF8B0825F7E7}"/>
    <cellStyle name="Normal 4 3 2 2 2 2 4 3" xfId="5572" xr:uid="{00000000-0005-0000-0000-000027140000}"/>
    <cellStyle name="Normal 4 3 2 2 2 2 4 3 2" xfId="14014" xr:uid="{24A21DEE-2CC0-4BE8-B977-D85D8542B4D9}"/>
    <cellStyle name="Normal 4 3 2 2 2 2 4 4" xfId="9796" xr:uid="{D01559B7-1B9D-45C6-9B58-CE11140FF41E}"/>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8619F356-979B-4AD9-A8CB-5DE9C7CB777E}"/>
    <cellStyle name="Normal 4 3 2 2 2 2 5 2 3" xfId="12354" xr:uid="{BBBCB52D-3E93-49E6-B80E-1A61826E5AC8}"/>
    <cellStyle name="Normal 4 3 2 2 2 2 5 3" xfId="5985" xr:uid="{00000000-0005-0000-0000-00002B140000}"/>
    <cellStyle name="Normal 4 3 2 2 2 2 5 3 2" xfId="14427" xr:uid="{C3ACF0E7-1317-4903-B4AD-04BBD96ECA4E}"/>
    <cellStyle name="Normal 4 3 2 2 2 2 5 4" xfId="10209" xr:uid="{BBC02A0A-692A-4BA4-96F3-58D27EE4A68F}"/>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8B804B46-BD32-413E-83CC-3691E84A5C76}"/>
    <cellStyle name="Normal 4 3 2 2 2 2 6 2 3" xfId="12767" xr:uid="{EB9C7848-D4EC-4E0A-9E96-52BA222F0790}"/>
    <cellStyle name="Normal 4 3 2 2 2 2 6 3" xfId="6398" xr:uid="{00000000-0005-0000-0000-00002F140000}"/>
    <cellStyle name="Normal 4 3 2 2 2 2 6 3 2" xfId="14840" xr:uid="{38409A33-E203-46EF-9B0F-60BD38C3DCB8}"/>
    <cellStyle name="Normal 4 3 2 2 2 2 6 4" xfId="10622" xr:uid="{8F42FFF3-368B-47FA-8505-D46C94A1A887}"/>
    <cellStyle name="Normal 4 3 2 2 2 2 7" xfId="2527" xr:uid="{00000000-0005-0000-0000-000030140000}"/>
    <cellStyle name="Normal 4 3 2 2 2 2 7 2" xfId="6811" xr:uid="{00000000-0005-0000-0000-000031140000}"/>
    <cellStyle name="Normal 4 3 2 2 2 2 7 2 2" xfId="15253" xr:uid="{510B62F2-967B-4BBE-86A0-7362308C67AE}"/>
    <cellStyle name="Normal 4 3 2 2 2 2 7 3" xfId="11035" xr:uid="{4E599EFF-3C1A-42E2-9545-2ACD2187EB04}"/>
    <cellStyle name="Normal 4 3 2 2 2 2 8" xfId="4746" xr:uid="{00000000-0005-0000-0000-000032140000}"/>
    <cellStyle name="Normal 4 3 2 2 2 2 8 2" xfId="13188" xr:uid="{1F1C3A02-323E-4D13-BFBD-49A67115E633}"/>
    <cellStyle name="Normal 4 3 2 2 2 2 9" xfId="8970" xr:uid="{2EE06BDE-FDCA-4387-87A6-ABF4FB0C29BC}"/>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6CD45492-36BA-4323-9895-D2D334D2D451}"/>
    <cellStyle name="Normal 4 3 2 2 2 3 2 2 3" xfId="11530" xr:uid="{0E82435F-043A-4DAC-8DA3-EC73A7E7E204}"/>
    <cellStyle name="Normal 4 3 2 2 2 3 2 3" xfId="5161" xr:uid="{00000000-0005-0000-0000-000037140000}"/>
    <cellStyle name="Normal 4 3 2 2 2 3 2 3 2" xfId="13603" xr:uid="{C58F5DB9-B0F5-4C69-ACCB-BCDDFA9785D2}"/>
    <cellStyle name="Normal 4 3 2 2 2 3 2 4" xfId="9385" xr:uid="{0BBEE25C-2AAE-41F4-A213-4549434785AD}"/>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57E935D9-406C-4AF2-800E-7C6442E2A122}"/>
    <cellStyle name="Normal 4 3 2 2 2 3 3 2 3" xfId="11943" xr:uid="{1F24D53E-865C-49BC-9ACD-206D7186087D}"/>
    <cellStyle name="Normal 4 3 2 2 2 3 3 3" xfId="5574" xr:uid="{00000000-0005-0000-0000-00003B140000}"/>
    <cellStyle name="Normal 4 3 2 2 2 3 3 3 2" xfId="14016" xr:uid="{DEC5F299-E7D3-4539-8DB2-2BD794851ECE}"/>
    <cellStyle name="Normal 4 3 2 2 2 3 3 4" xfId="9798" xr:uid="{8907E091-5571-4C21-835E-32FA419AD3BA}"/>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4EC1D5B9-AA3F-49B2-B3B2-FDF9B5AC3646}"/>
    <cellStyle name="Normal 4 3 2 2 2 3 4 2 3" xfId="12356" xr:uid="{C5806433-88CB-4856-8B10-2D7DA5496E3B}"/>
    <cellStyle name="Normal 4 3 2 2 2 3 4 3" xfId="5987" xr:uid="{00000000-0005-0000-0000-00003F140000}"/>
    <cellStyle name="Normal 4 3 2 2 2 3 4 3 2" xfId="14429" xr:uid="{FA7C9446-3E08-4A94-BB3C-7BA5511E7E3E}"/>
    <cellStyle name="Normal 4 3 2 2 2 3 4 4" xfId="10211" xr:uid="{698988E4-52C7-4356-BFE9-331E3CDF614D}"/>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1E39A75D-995F-4E04-968D-F3E3C7193916}"/>
    <cellStyle name="Normal 4 3 2 2 2 3 5 2 3" xfId="12769" xr:uid="{1D995722-C74C-4929-B29C-BBBE12BF2A98}"/>
    <cellStyle name="Normal 4 3 2 2 2 3 5 3" xfId="6400" xr:uid="{00000000-0005-0000-0000-000043140000}"/>
    <cellStyle name="Normal 4 3 2 2 2 3 5 3 2" xfId="14842" xr:uid="{232BE959-15BC-43F1-AF28-986A4DFA3B7C}"/>
    <cellStyle name="Normal 4 3 2 2 2 3 5 4" xfId="10624" xr:uid="{B51C2611-0555-4FFD-8753-4871AB768BA8}"/>
    <cellStyle name="Normal 4 3 2 2 2 3 6" xfId="2529" xr:uid="{00000000-0005-0000-0000-000044140000}"/>
    <cellStyle name="Normal 4 3 2 2 2 3 6 2" xfId="6813" xr:uid="{00000000-0005-0000-0000-000045140000}"/>
    <cellStyle name="Normal 4 3 2 2 2 3 6 2 2" xfId="15255" xr:uid="{5DCA09EC-2842-492F-B368-08F40F3D6E36}"/>
    <cellStyle name="Normal 4 3 2 2 2 3 6 3" xfId="11037" xr:uid="{FFB7119D-D705-4D10-8FE3-91D735C4C7A3}"/>
    <cellStyle name="Normal 4 3 2 2 2 3 7" xfId="4748" xr:uid="{00000000-0005-0000-0000-000046140000}"/>
    <cellStyle name="Normal 4 3 2 2 2 3 7 2" xfId="13190" xr:uid="{28057AF9-E4AF-4739-A8D7-F3C69D5D0148}"/>
    <cellStyle name="Normal 4 3 2 2 2 3 8" xfId="8972" xr:uid="{E71A49C6-BB13-4BD7-B6EE-1DB2229D1F89}"/>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72E611EE-06EA-4013-95A1-5348777B161B}"/>
    <cellStyle name="Normal 4 3 2 2 2 4 2 3" xfId="11527" xr:uid="{B6350A73-F981-48B0-A90E-5722731A2A33}"/>
    <cellStyle name="Normal 4 3 2 2 2 4 3" xfId="5158" xr:uid="{00000000-0005-0000-0000-00004A140000}"/>
    <cellStyle name="Normal 4 3 2 2 2 4 3 2" xfId="13600" xr:uid="{1D6894C3-F12B-412D-AF8F-91943CB6D437}"/>
    <cellStyle name="Normal 4 3 2 2 2 4 4" xfId="9382" xr:uid="{1810DB28-D083-492D-86D8-D7911723BD47}"/>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3448528F-8DA5-4F36-BBF8-AC1C81186D9E}"/>
    <cellStyle name="Normal 4 3 2 2 2 5 2 3" xfId="11940" xr:uid="{D495278C-5006-4D8A-A3A6-B5A0F69CE167}"/>
    <cellStyle name="Normal 4 3 2 2 2 5 3" xfId="5571" xr:uid="{00000000-0005-0000-0000-00004E140000}"/>
    <cellStyle name="Normal 4 3 2 2 2 5 3 2" xfId="14013" xr:uid="{286443FB-F49E-40D2-92FE-9E9E293A06BF}"/>
    <cellStyle name="Normal 4 3 2 2 2 5 4" xfId="9795" xr:uid="{3FABDF2D-9E04-4C4F-ACDC-0352650BFB5D}"/>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625DBFA5-9472-4C05-AD62-181ED7BEA961}"/>
    <cellStyle name="Normal 4 3 2 2 2 6 2 3" xfId="12353" xr:uid="{5254D173-0A75-4AC5-A538-7DA4C3FD84AF}"/>
    <cellStyle name="Normal 4 3 2 2 2 6 3" xfId="5984" xr:uid="{00000000-0005-0000-0000-000052140000}"/>
    <cellStyle name="Normal 4 3 2 2 2 6 3 2" xfId="14426" xr:uid="{8E981BA9-EE28-4BAA-98D9-B7E57EC794A4}"/>
    <cellStyle name="Normal 4 3 2 2 2 6 4" xfId="10208" xr:uid="{322B1235-4A89-400A-918B-BAC832C2E43B}"/>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F0E53B75-0529-4B62-9399-3EC8B0E4F09B}"/>
    <cellStyle name="Normal 4 3 2 2 2 7 2 3" xfId="12766" xr:uid="{7C1D848F-36B1-4E29-ABC5-10C349C2B0C9}"/>
    <cellStyle name="Normal 4 3 2 2 2 7 3" xfId="6397" xr:uid="{00000000-0005-0000-0000-000056140000}"/>
    <cellStyle name="Normal 4 3 2 2 2 7 3 2" xfId="14839" xr:uid="{1B1EC6E1-7C7C-4D60-BD27-F60AEBC60AA5}"/>
    <cellStyle name="Normal 4 3 2 2 2 7 4" xfId="10621" xr:uid="{0ABDB49F-78CD-403F-B7D7-11597900E202}"/>
    <cellStyle name="Normal 4 3 2 2 2 8" xfId="2526" xr:uid="{00000000-0005-0000-0000-000057140000}"/>
    <cellStyle name="Normal 4 3 2 2 2 8 2" xfId="6810" xr:uid="{00000000-0005-0000-0000-000058140000}"/>
    <cellStyle name="Normal 4 3 2 2 2 8 2 2" xfId="15252" xr:uid="{000DABCC-333A-465E-9FC8-B9A36B0F72E6}"/>
    <cellStyle name="Normal 4 3 2 2 2 8 3" xfId="11034" xr:uid="{2C53155B-9C2D-46DD-AA47-8B804FAE2A98}"/>
    <cellStyle name="Normal 4 3 2 2 2 9" xfId="4745" xr:uid="{00000000-0005-0000-0000-000059140000}"/>
    <cellStyle name="Normal 4 3 2 2 2 9 2" xfId="13187" xr:uid="{A91F579B-6FB0-4E38-A03D-41141D615AA4}"/>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7A7824C1-1F00-47BC-9FDA-A51B7A0EF103}"/>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46E47858-F8C8-43E9-945B-66AF923BD6E0}"/>
    <cellStyle name="Normal 4 3 3 2 2 2 2 3" xfId="11533" xr:uid="{72D1A3AB-F70F-4571-BF50-C0D518F06319}"/>
    <cellStyle name="Normal 4 3 3 2 2 2 3" xfId="5164" xr:uid="{00000000-0005-0000-0000-000063140000}"/>
    <cellStyle name="Normal 4 3 3 2 2 2 3 2" xfId="13606" xr:uid="{0E524F5D-B759-4228-91D4-B6B8C8943D90}"/>
    <cellStyle name="Normal 4 3 3 2 2 2 4" xfId="9388" xr:uid="{F991EFAE-5A4D-41FF-906A-3A0EFE04DDDA}"/>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CAA46F96-9AA7-4717-87A0-9F1DACA42D43}"/>
    <cellStyle name="Normal 4 3 3 2 2 3 2 3" xfId="11946" xr:uid="{4CB79CFE-B724-454D-8A1C-F74485D2CAFD}"/>
    <cellStyle name="Normal 4 3 3 2 2 3 3" xfId="5577" xr:uid="{00000000-0005-0000-0000-000067140000}"/>
    <cellStyle name="Normal 4 3 3 2 2 3 3 2" xfId="14019" xr:uid="{930F7ECA-C76D-4884-9E4F-74127AC6D741}"/>
    <cellStyle name="Normal 4 3 3 2 2 3 4" xfId="9801" xr:uid="{44A28ABF-0CCD-4D0D-B23E-929ED8288F1D}"/>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7337A8EB-1F96-4320-80FD-B6354C94DE01}"/>
    <cellStyle name="Normal 4 3 3 2 2 4 2 3" xfId="12359" xr:uid="{4876B81C-3FE7-4986-9B58-8C26FAC20991}"/>
    <cellStyle name="Normal 4 3 3 2 2 4 3" xfId="5990" xr:uid="{00000000-0005-0000-0000-00006B140000}"/>
    <cellStyle name="Normal 4 3 3 2 2 4 3 2" xfId="14432" xr:uid="{3AF3EBB6-FEB6-4ECC-AA84-09665987EBAA}"/>
    <cellStyle name="Normal 4 3 3 2 2 4 4" xfId="10214" xr:uid="{CD17EDC0-93EA-4523-B7DF-4C11C09C5A67}"/>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56F0707D-4A00-42D4-AE66-FBE4EB36A305}"/>
    <cellStyle name="Normal 4 3 3 2 2 5 2 3" xfId="12772" xr:uid="{25C5C6F7-78A4-4A5A-9208-4C1025328C4F}"/>
    <cellStyle name="Normal 4 3 3 2 2 5 3" xfId="6403" xr:uid="{00000000-0005-0000-0000-00006F140000}"/>
    <cellStyle name="Normal 4 3 3 2 2 5 3 2" xfId="14845" xr:uid="{B64B2C1D-FC56-4E08-9BE0-586EED7C08A3}"/>
    <cellStyle name="Normal 4 3 3 2 2 5 4" xfId="10627" xr:uid="{C2AE367C-716E-4282-A2B4-876479FBC172}"/>
    <cellStyle name="Normal 4 3 3 2 2 6" xfId="2532" xr:uid="{00000000-0005-0000-0000-000070140000}"/>
    <cellStyle name="Normal 4 3 3 2 2 6 2" xfId="6816" xr:uid="{00000000-0005-0000-0000-000071140000}"/>
    <cellStyle name="Normal 4 3 3 2 2 6 2 2" xfId="15258" xr:uid="{4C7D0300-03C4-4425-97D4-ADEB9512F5C8}"/>
    <cellStyle name="Normal 4 3 3 2 2 6 3" xfId="11040" xr:uid="{8480514E-9C6D-4E44-9FD9-4CEAEE825ACC}"/>
    <cellStyle name="Normal 4 3 3 2 2 7" xfId="4751" xr:uid="{00000000-0005-0000-0000-000072140000}"/>
    <cellStyle name="Normal 4 3 3 2 2 7 2" xfId="13193" xr:uid="{9C401516-AEC4-433A-9C7E-BB46E03F9826}"/>
    <cellStyle name="Normal 4 3 3 2 2 8" xfId="8975" xr:uid="{9D5344B7-3E20-4247-BC7B-E8D2B7146F29}"/>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86B2ADD7-DE22-4F04-98BC-D88D886CC360}"/>
    <cellStyle name="Normal 4 3 3 2 3 2 3" xfId="11532" xr:uid="{32479AC6-4C67-4D6B-AF65-B3506C34D14E}"/>
    <cellStyle name="Normal 4 3 3 2 3 3" xfId="5163" xr:uid="{00000000-0005-0000-0000-000076140000}"/>
    <cellStyle name="Normal 4 3 3 2 3 3 2" xfId="13605" xr:uid="{161E00D8-E5DB-4D54-92C8-5C8BF8E3667F}"/>
    <cellStyle name="Normal 4 3 3 2 3 4" xfId="9387" xr:uid="{035F32F2-5E71-4451-BF6B-4E3C649C7EF0}"/>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210FCDC5-62E3-4E45-A4AB-BAB3B1D0EDE7}"/>
    <cellStyle name="Normal 4 3 3 2 4 2 3" xfId="11945" xr:uid="{D67DA189-6F08-44D1-987B-732431F772F5}"/>
    <cellStyle name="Normal 4 3 3 2 4 3" xfId="5576" xr:uid="{00000000-0005-0000-0000-00007A140000}"/>
    <cellStyle name="Normal 4 3 3 2 4 3 2" xfId="14018" xr:uid="{9221E61E-2340-4B11-8244-812A116BED0D}"/>
    <cellStyle name="Normal 4 3 3 2 4 4" xfId="9800" xr:uid="{5233E2B6-25A5-473B-A0F9-052E61F16762}"/>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A619D6A7-E177-42F9-A6F6-579B8BD655A6}"/>
    <cellStyle name="Normal 4 3 3 2 5 2 3" xfId="12358" xr:uid="{ADA778AA-5F98-4D01-9FE9-C7A2B5576A98}"/>
    <cellStyle name="Normal 4 3 3 2 5 3" xfId="5989" xr:uid="{00000000-0005-0000-0000-00007E140000}"/>
    <cellStyle name="Normal 4 3 3 2 5 3 2" xfId="14431" xr:uid="{C27F6E44-B443-4BFC-9BB3-0E415DA3F877}"/>
    <cellStyle name="Normal 4 3 3 2 5 4" xfId="10213" xr:uid="{6946D512-CFF6-4410-8BA4-A8A4A376ED24}"/>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E371BCB5-CE6B-4D79-9CD7-ADDAA3A4F25C}"/>
    <cellStyle name="Normal 4 3 3 2 6 2 3" xfId="12771" xr:uid="{632ABB86-D40B-4430-A37C-4749449B10FE}"/>
    <cellStyle name="Normal 4 3 3 2 6 3" xfId="6402" xr:uid="{00000000-0005-0000-0000-000082140000}"/>
    <cellStyle name="Normal 4 3 3 2 6 3 2" xfId="14844" xr:uid="{7CA6CAFA-BAC9-42A0-9361-C7BB5A611079}"/>
    <cellStyle name="Normal 4 3 3 2 6 4" xfId="10626" xr:uid="{1F351EEB-C194-48CD-B2DB-B955538669F7}"/>
    <cellStyle name="Normal 4 3 3 2 7" xfId="2531" xr:uid="{00000000-0005-0000-0000-000083140000}"/>
    <cellStyle name="Normal 4 3 3 2 7 2" xfId="6815" xr:uid="{00000000-0005-0000-0000-000084140000}"/>
    <cellStyle name="Normal 4 3 3 2 7 2 2" xfId="15257" xr:uid="{8D2D17B0-84FC-47BA-82CC-BE0AD4E0199F}"/>
    <cellStyle name="Normal 4 3 3 2 7 3" xfId="11039" xr:uid="{F433F805-6544-4216-BB77-22325F3B5B59}"/>
    <cellStyle name="Normal 4 3 3 2 8" xfId="4750" xr:uid="{00000000-0005-0000-0000-000085140000}"/>
    <cellStyle name="Normal 4 3 3 2 8 2" xfId="13192" xr:uid="{B520A8C2-9681-4480-BF62-ABD62E30B890}"/>
    <cellStyle name="Normal 4 3 3 2 9" xfId="8974" xr:uid="{B44C4DE2-B21F-4F58-B292-84243D6841F4}"/>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0EE74A4D-5556-42E4-A5B4-A6EC195EF9AD}"/>
    <cellStyle name="Normal 4 3 3 3 2 2 3" xfId="11534" xr:uid="{67AF8FB7-0E90-4ADB-81FD-9678D8FB481F}"/>
    <cellStyle name="Normal 4 3 3 3 2 3" xfId="5165" xr:uid="{00000000-0005-0000-0000-00008A140000}"/>
    <cellStyle name="Normal 4 3 3 3 2 3 2" xfId="13607" xr:uid="{B7F83EF0-BDA2-4FD8-8207-6803E4EA64B9}"/>
    <cellStyle name="Normal 4 3 3 3 2 4" xfId="9389" xr:uid="{4CCC731F-AFE0-4A83-81F4-F989B5E3203B}"/>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027378D4-98AE-411F-A664-876D2750D07E}"/>
    <cellStyle name="Normal 4 3 3 3 3 2 3" xfId="11947" xr:uid="{482AC8A0-FCAF-4F98-BA12-9CC71576E210}"/>
    <cellStyle name="Normal 4 3 3 3 3 3" xfId="5578" xr:uid="{00000000-0005-0000-0000-00008E140000}"/>
    <cellStyle name="Normal 4 3 3 3 3 3 2" xfId="14020" xr:uid="{A59611B7-F18C-4426-989D-D46FA4675E3E}"/>
    <cellStyle name="Normal 4 3 3 3 3 4" xfId="9802" xr:uid="{C0439A49-3306-424D-A085-9698486070D8}"/>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682551E4-BD13-4AEF-82D3-A84CD26E9656}"/>
    <cellStyle name="Normal 4 3 3 3 4 2 3" xfId="12360" xr:uid="{2D57435C-97EE-436B-AA7B-190AB7BB8DE4}"/>
    <cellStyle name="Normal 4 3 3 3 4 3" xfId="5991" xr:uid="{00000000-0005-0000-0000-000092140000}"/>
    <cellStyle name="Normal 4 3 3 3 4 3 2" xfId="14433" xr:uid="{B7AEA8B1-510A-4BB4-A04D-96676C4F79D5}"/>
    <cellStyle name="Normal 4 3 3 3 4 4" xfId="10215" xr:uid="{7A7F676A-DC29-41E0-96EB-AE69ED5EF71B}"/>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342C14DE-812F-47B6-B096-ECEB57189192}"/>
    <cellStyle name="Normal 4 3 3 3 5 2 3" xfId="12773" xr:uid="{518B80AE-3F8D-480F-BD85-049896C1D39B}"/>
    <cellStyle name="Normal 4 3 3 3 5 3" xfId="6404" xr:uid="{00000000-0005-0000-0000-000096140000}"/>
    <cellStyle name="Normal 4 3 3 3 5 3 2" xfId="14846" xr:uid="{4DB6E508-B3B6-4655-8281-C923E3D2E9CF}"/>
    <cellStyle name="Normal 4 3 3 3 5 4" xfId="10628" xr:uid="{DB2C06EE-FB20-48B2-939F-71F2A5446FD3}"/>
    <cellStyle name="Normal 4 3 3 3 6" xfId="2533" xr:uid="{00000000-0005-0000-0000-000097140000}"/>
    <cellStyle name="Normal 4 3 3 3 6 2" xfId="6817" xr:uid="{00000000-0005-0000-0000-000098140000}"/>
    <cellStyle name="Normal 4 3 3 3 6 2 2" xfId="15259" xr:uid="{EA92D4EC-7C10-4B73-AA29-CC3D0E39AD89}"/>
    <cellStyle name="Normal 4 3 3 3 6 3" xfId="11041" xr:uid="{522B1DAD-CA7E-4D54-91F0-9E3B0004D7C8}"/>
    <cellStyle name="Normal 4 3 3 3 7" xfId="4752" xr:uid="{00000000-0005-0000-0000-000099140000}"/>
    <cellStyle name="Normal 4 3 3 3 7 2" xfId="13194" xr:uid="{97DD2329-D05F-4B0D-8443-8DB3BEC8F922}"/>
    <cellStyle name="Normal 4 3 3 3 8" xfId="8976" xr:uid="{5536682F-65D6-434A-8C98-4FC916AB857E}"/>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2CE0D7A3-0C70-4E01-9AA2-F298863997B7}"/>
    <cellStyle name="Normal 4 3 3 4 2 3" xfId="11531" xr:uid="{4EC6E8F7-7F0C-42B7-B6DF-D9382B8FB29B}"/>
    <cellStyle name="Normal 4 3 3 4 3" xfId="5162" xr:uid="{00000000-0005-0000-0000-00009D140000}"/>
    <cellStyle name="Normal 4 3 3 4 3 2" xfId="13604" xr:uid="{0B9D628F-6222-4148-95E0-CF08A5D14BEC}"/>
    <cellStyle name="Normal 4 3 3 4 4" xfId="9386" xr:uid="{A14213E1-309B-4C1B-8BA9-4D83C7B7B4EB}"/>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C43FE239-39AA-49B2-9E45-778920696A2A}"/>
    <cellStyle name="Normal 4 3 3 5 2 3" xfId="11944" xr:uid="{AE582AA6-CB79-4E56-B9DF-58B32F99E3FC}"/>
    <cellStyle name="Normal 4 3 3 5 3" xfId="5575" xr:uid="{00000000-0005-0000-0000-0000A1140000}"/>
    <cellStyle name="Normal 4 3 3 5 3 2" xfId="14017" xr:uid="{579CB070-545C-4E3C-8412-5BB67419059C}"/>
    <cellStyle name="Normal 4 3 3 5 4" xfId="9799" xr:uid="{D8D67220-1F68-4840-8FF1-340107BC616F}"/>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C639A450-1AB8-4617-BBF0-1A640D269D89}"/>
    <cellStyle name="Normal 4 3 3 6 2 3" xfId="12357" xr:uid="{60D2E3E5-E837-40E0-8777-A92B0D7B88F3}"/>
    <cellStyle name="Normal 4 3 3 6 3" xfId="5988" xr:uid="{00000000-0005-0000-0000-0000A5140000}"/>
    <cellStyle name="Normal 4 3 3 6 3 2" xfId="14430" xr:uid="{7D471040-AE4B-463D-956D-5E7B036EE267}"/>
    <cellStyle name="Normal 4 3 3 6 4" xfId="10212" xr:uid="{3C1FF08B-54F1-4637-94C7-5784E13FF51F}"/>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5797CE42-6BD3-4AFA-9628-55FC219C48AA}"/>
    <cellStyle name="Normal 4 3 3 7 2 3" xfId="12770" xr:uid="{0F7BBB6D-3C0D-4AA6-ACB0-61F2B66BD225}"/>
    <cellStyle name="Normal 4 3 3 7 3" xfId="6401" xr:uid="{00000000-0005-0000-0000-0000A9140000}"/>
    <cellStyle name="Normal 4 3 3 7 3 2" xfId="14843" xr:uid="{70C17378-2C8E-422A-9982-9FB061FE0E19}"/>
    <cellStyle name="Normal 4 3 3 7 4" xfId="10625" xr:uid="{C4D9357B-C7ED-4A53-8F19-BADFFDE23589}"/>
    <cellStyle name="Normal 4 3 3 8" xfId="2530" xr:uid="{00000000-0005-0000-0000-0000AA140000}"/>
    <cellStyle name="Normal 4 3 3 8 2" xfId="6814" xr:uid="{00000000-0005-0000-0000-0000AB140000}"/>
    <cellStyle name="Normal 4 3 3 8 2 2" xfId="15256" xr:uid="{40025EDD-E915-4A09-BADB-333A05DDF5C8}"/>
    <cellStyle name="Normal 4 3 3 8 3" xfId="11038" xr:uid="{54E331BE-DE3E-473C-8F85-E1D6BDD7B0D5}"/>
    <cellStyle name="Normal 4 3 3 9" xfId="4749" xr:uid="{00000000-0005-0000-0000-0000AC140000}"/>
    <cellStyle name="Normal 4 3 3 9 2" xfId="13191" xr:uid="{A0651C49-5586-421F-ADA1-FE5A0502D92F}"/>
    <cellStyle name="Normal 4 3 4" xfId="842" xr:uid="{00000000-0005-0000-0000-0000AD140000}"/>
    <cellStyle name="Normal 4 3 4 2" xfId="3079" xr:uid="{00000000-0005-0000-0000-0000AE140000}"/>
    <cellStyle name="Normal 4 3 4 2 2" xfId="7302" xr:uid="{00000000-0005-0000-0000-0000AF140000}"/>
    <cellStyle name="Normal 4 3 4 2 2 2" xfId="15744" xr:uid="{7CF61C99-D49F-490D-A9D1-1FD7EE1F7A1D}"/>
    <cellStyle name="Normal 4 3 4 2 3" xfId="11526" xr:uid="{4FE0A362-AD34-4A72-8CBB-5105AE4EEC21}"/>
    <cellStyle name="Normal 4 3 4 3" xfId="5157" xr:uid="{00000000-0005-0000-0000-0000B0140000}"/>
    <cellStyle name="Normal 4 3 4 3 2" xfId="13599" xr:uid="{18A57EA7-7E9E-49F2-A8AB-B91C5015773D}"/>
    <cellStyle name="Normal 4 3 4 4" xfId="9381" xr:uid="{2E2E4EE6-FECE-40A2-8349-A51FD17ED6A9}"/>
    <cellStyle name="Normal 4 3 5" xfId="1262" xr:uid="{00000000-0005-0000-0000-0000B1140000}"/>
    <cellStyle name="Normal 4 3 5 2" xfId="3492" xr:uid="{00000000-0005-0000-0000-0000B2140000}"/>
    <cellStyle name="Normal 4 3 5 2 2" xfId="7715" xr:uid="{00000000-0005-0000-0000-0000B3140000}"/>
    <cellStyle name="Normal 4 3 5 2 2 2" xfId="16157" xr:uid="{F5C4AAEE-2B54-4F20-AF33-8908BD5E7135}"/>
    <cellStyle name="Normal 4 3 5 2 3" xfId="11939" xr:uid="{99BA1C9F-D4FF-4332-A3E8-7B86C0B991EE}"/>
    <cellStyle name="Normal 4 3 5 3" xfId="5570" xr:uid="{00000000-0005-0000-0000-0000B4140000}"/>
    <cellStyle name="Normal 4 3 5 3 2" xfId="14012" xr:uid="{836025E6-D2B6-462A-9ED8-D7D3104ADFF0}"/>
    <cellStyle name="Normal 4 3 5 4" xfId="9794" xr:uid="{3E2A03A6-BE76-4779-A1D6-078038669B7D}"/>
    <cellStyle name="Normal 4 3 6" xfId="1675" xr:uid="{00000000-0005-0000-0000-0000B5140000}"/>
    <cellStyle name="Normal 4 3 6 2" xfId="3905" xr:uid="{00000000-0005-0000-0000-0000B6140000}"/>
    <cellStyle name="Normal 4 3 6 2 2" xfId="8128" xr:uid="{00000000-0005-0000-0000-0000B7140000}"/>
    <cellStyle name="Normal 4 3 6 2 2 2" xfId="16570" xr:uid="{126F7887-480A-4CAE-9C1A-B48FE265D2EB}"/>
    <cellStyle name="Normal 4 3 6 2 3" xfId="12352" xr:uid="{0E081FC6-77EE-4007-9C86-37225AC6A4EB}"/>
    <cellStyle name="Normal 4 3 6 3" xfId="5983" xr:uid="{00000000-0005-0000-0000-0000B8140000}"/>
    <cellStyle name="Normal 4 3 6 3 2" xfId="14425" xr:uid="{262398A4-4217-48BE-8F59-8904001CF2C6}"/>
    <cellStyle name="Normal 4 3 6 4" xfId="10207" xr:uid="{40F48539-189A-454B-9EEF-9541DABAAB70}"/>
    <cellStyle name="Normal 4 3 7" xfId="2089" xr:uid="{00000000-0005-0000-0000-0000B9140000}"/>
    <cellStyle name="Normal 4 3 7 2" xfId="4318" xr:uid="{00000000-0005-0000-0000-0000BA140000}"/>
    <cellStyle name="Normal 4 3 7 2 2" xfId="8541" xr:uid="{00000000-0005-0000-0000-0000BB140000}"/>
    <cellStyle name="Normal 4 3 7 2 2 2" xfId="16983" xr:uid="{C76E8320-9BBB-44F7-84EE-B7EB76C48D9C}"/>
    <cellStyle name="Normal 4 3 7 2 3" xfId="12765" xr:uid="{1C872BA2-8A9D-4B56-9372-B4F96F7F90BF}"/>
    <cellStyle name="Normal 4 3 7 3" xfId="6396" xr:uid="{00000000-0005-0000-0000-0000BC140000}"/>
    <cellStyle name="Normal 4 3 7 3 2" xfId="14838" xr:uid="{F4FFADB1-FC02-4722-BCE3-67562BB1FC68}"/>
    <cellStyle name="Normal 4 3 7 4" xfId="10620" xr:uid="{33222480-15B8-4688-9588-FC918AA9D954}"/>
    <cellStyle name="Normal 4 3 8" xfId="2525" xr:uid="{00000000-0005-0000-0000-0000BD140000}"/>
    <cellStyle name="Normal 4 3 8 2" xfId="6809" xr:uid="{00000000-0005-0000-0000-0000BE140000}"/>
    <cellStyle name="Normal 4 3 8 2 2" xfId="15251" xr:uid="{0D9F964C-89D3-46E6-95F5-37010137F4EE}"/>
    <cellStyle name="Normal 4 3 8 3" xfId="11033" xr:uid="{5352480F-D4F7-48EE-9C3B-5DCD71945941}"/>
    <cellStyle name="Normal 4 3 9" xfId="4744" xr:uid="{00000000-0005-0000-0000-0000BF140000}"/>
    <cellStyle name="Normal 4 3 9 2" xfId="13186" xr:uid="{F6425178-83CA-4CC5-9C39-5A68F13668E1}"/>
    <cellStyle name="Normal 4 4" xfId="378" xr:uid="{00000000-0005-0000-0000-0000C0140000}"/>
    <cellStyle name="Normal 4 4 10" xfId="2534" xr:uid="{00000000-0005-0000-0000-0000C1140000}"/>
    <cellStyle name="Normal 4 4 10 2" xfId="6818" xr:uid="{00000000-0005-0000-0000-0000C2140000}"/>
    <cellStyle name="Normal 4 4 10 2 2" xfId="15260" xr:uid="{A1E38824-FB0C-4ACB-BE11-79906B159D97}"/>
    <cellStyle name="Normal 4 4 10 3" xfId="11042" xr:uid="{BC96E6DD-B828-4D59-8F7E-F4F45B65F5E0}"/>
    <cellStyle name="Normal 4 4 11" xfId="4753" xr:uid="{00000000-0005-0000-0000-0000C3140000}"/>
    <cellStyle name="Normal 4 4 11 2" xfId="13195" xr:uid="{6130E72A-329B-4513-B0B5-5B19C8BA1729}"/>
    <cellStyle name="Normal 4 4 12" xfId="8977" xr:uid="{981F8678-E5ED-450A-92BB-D60E687E1298}"/>
    <cellStyle name="Normal 4 4 2" xfId="379" xr:uid="{00000000-0005-0000-0000-0000C4140000}"/>
    <cellStyle name="Normal 4 4 2 10" xfId="4754" xr:uid="{00000000-0005-0000-0000-0000C5140000}"/>
    <cellStyle name="Normal 4 4 2 10 2" xfId="13196" xr:uid="{C0E3DAD2-E06C-497A-8738-8AF422A853A5}"/>
    <cellStyle name="Normal 4 4 2 11" xfId="8978" xr:uid="{14BBB546-745C-497D-9AB6-1932128C8114}"/>
    <cellStyle name="Normal 4 4 2 2" xfId="380" xr:uid="{00000000-0005-0000-0000-0000C6140000}"/>
    <cellStyle name="Normal 4 4 2 2 10" xfId="8979" xr:uid="{1A64BD31-3D44-4498-9316-EAC74374FE2A}"/>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EC57D556-9103-4766-99F6-1ECD6CDD991D}"/>
    <cellStyle name="Normal 4 4 2 2 2 2 2 2 3" xfId="11539" xr:uid="{45FC71A9-2F48-40C6-A45C-DBB78FAA6644}"/>
    <cellStyle name="Normal 4 4 2 2 2 2 2 3" xfId="5170" xr:uid="{00000000-0005-0000-0000-0000CC140000}"/>
    <cellStyle name="Normal 4 4 2 2 2 2 2 3 2" xfId="13612" xr:uid="{0ECF8F55-ACCA-4AB1-B29E-E97580278F1E}"/>
    <cellStyle name="Normal 4 4 2 2 2 2 2 4" xfId="9394" xr:uid="{7C61E17C-EEFB-4CD4-AEE1-62F8425C6951}"/>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283E9D36-2A3A-4C61-8927-107AFE50812E}"/>
    <cellStyle name="Normal 4 4 2 2 2 2 3 2 3" xfId="11952" xr:uid="{25868724-4EBD-408C-AFBF-BC583D117623}"/>
    <cellStyle name="Normal 4 4 2 2 2 2 3 3" xfId="5583" xr:uid="{00000000-0005-0000-0000-0000D0140000}"/>
    <cellStyle name="Normal 4 4 2 2 2 2 3 3 2" xfId="14025" xr:uid="{BADB3D0D-2AA3-4837-A30B-B3DE171C137B}"/>
    <cellStyle name="Normal 4 4 2 2 2 2 3 4" xfId="9807" xr:uid="{B6E49D85-A07F-4736-BA2E-EA6F39359FFC}"/>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97869CAF-6868-4D73-8845-C3D1CCD141D1}"/>
    <cellStyle name="Normal 4 4 2 2 2 2 4 2 3" xfId="12365" xr:uid="{575BC9A0-0984-4A18-9F3B-807FFB5037CA}"/>
    <cellStyle name="Normal 4 4 2 2 2 2 4 3" xfId="5996" xr:uid="{00000000-0005-0000-0000-0000D4140000}"/>
    <cellStyle name="Normal 4 4 2 2 2 2 4 3 2" xfId="14438" xr:uid="{83F225F9-1966-4F18-8514-530349151D8D}"/>
    <cellStyle name="Normal 4 4 2 2 2 2 4 4" xfId="10220" xr:uid="{2454933E-1F18-44CF-8487-0DD6E4C39013}"/>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DD0B2F03-B90B-4F5F-BD87-8CB1A3889BDE}"/>
    <cellStyle name="Normal 4 4 2 2 2 2 5 2 3" xfId="12778" xr:uid="{B9A88E3C-7EB7-4FFE-BF74-A9940FFD3022}"/>
    <cellStyle name="Normal 4 4 2 2 2 2 5 3" xfId="6409" xr:uid="{00000000-0005-0000-0000-0000D8140000}"/>
    <cellStyle name="Normal 4 4 2 2 2 2 5 3 2" xfId="14851" xr:uid="{5B128AA6-A494-47DB-9F59-B8A5AC96F75E}"/>
    <cellStyle name="Normal 4 4 2 2 2 2 5 4" xfId="10633" xr:uid="{67776728-95A1-4181-9DBF-25F4DF532DC9}"/>
    <cellStyle name="Normal 4 4 2 2 2 2 6" xfId="2538" xr:uid="{00000000-0005-0000-0000-0000D9140000}"/>
    <cellStyle name="Normal 4 4 2 2 2 2 6 2" xfId="6822" xr:uid="{00000000-0005-0000-0000-0000DA140000}"/>
    <cellStyle name="Normal 4 4 2 2 2 2 6 2 2" xfId="15264" xr:uid="{8F86E309-F2EE-4762-B21A-F2074DB16964}"/>
    <cellStyle name="Normal 4 4 2 2 2 2 6 3" xfId="11046" xr:uid="{7C25D7CB-D2F1-476B-9D8A-E93890A7D376}"/>
    <cellStyle name="Normal 4 4 2 2 2 2 7" xfId="4757" xr:uid="{00000000-0005-0000-0000-0000DB140000}"/>
    <cellStyle name="Normal 4 4 2 2 2 2 7 2" xfId="13199" xr:uid="{B0C57D6B-36C6-4F08-AF46-F3DC856C87FE}"/>
    <cellStyle name="Normal 4 4 2 2 2 2 8" xfId="8981" xr:uid="{9393CCE4-1F67-4353-AF93-D2C994962CDD}"/>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48395137-1EA6-4ED0-8E2D-185D6CCB4D22}"/>
    <cellStyle name="Normal 4 4 2 2 2 3 2 3" xfId="11538" xr:uid="{DE93189C-E92F-46BE-8EFA-4B024358B72F}"/>
    <cellStyle name="Normal 4 4 2 2 2 3 3" xfId="5169" xr:uid="{00000000-0005-0000-0000-0000DF140000}"/>
    <cellStyle name="Normal 4 4 2 2 2 3 3 2" xfId="13611" xr:uid="{C0C41213-693E-4732-B66C-8B3E40541A0E}"/>
    <cellStyle name="Normal 4 4 2 2 2 3 4" xfId="9393" xr:uid="{01CD1CEE-0BCD-4894-ADB8-109D25A41FA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B44045E2-0A60-410C-A510-42816EB4F9B8}"/>
    <cellStyle name="Normal 4 4 2 2 2 4 2 3" xfId="11951" xr:uid="{9BE3C9C1-488C-4561-96CE-C52DC621F9A4}"/>
    <cellStyle name="Normal 4 4 2 2 2 4 3" xfId="5582" xr:uid="{00000000-0005-0000-0000-0000E3140000}"/>
    <cellStyle name="Normal 4 4 2 2 2 4 3 2" xfId="14024" xr:uid="{473583D6-44D4-4E7D-BF04-9CFC5CDD4450}"/>
    <cellStyle name="Normal 4 4 2 2 2 4 4" xfId="9806" xr:uid="{3CA3ED22-B3AC-49D0-8F17-28FAB30C915B}"/>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BD788640-3EDC-41EC-8429-DF6128ADE5C0}"/>
    <cellStyle name="Normal 4 4 2 2 2 5 2 3" xfId="12364" xr:uid="{BEB7F768-C0A9-480B-836F-CE45692E5947}"/>
    <cellStyle name="Normal 4 4 2 2 2 5 3" xfId="5995" xr:uid="{00000000-0005-0000-0000-0000E7140000}"/>
    <cellStyle name="Normal 4 4 2 2 2 5 3 2" xfId="14437" xr:uid="{2B87069C-21D1-456F-AAF3-1A6E3BE13A6C}"/>
    <cellStyle name="Normal 4 4 2 2 2 5 4" xfId="10219" xr:uid="{244F1D63-FDF8-48EB-ABEB-28C56F7D8702}"/>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48EFDC9D-DE5F-4743-A9E5-9740EBF2D07B}"/>
    <cellStyle name="Normal 4 4 2 2 2 6 2 3" xfId="12777" xr:uid="{8FD9A8AB-2AFA-4B1E-B2BC-D8C1AEB2BF81}"/>
    <cellStyle name="Normal 4 4 2 2 2 6 3" xfId="6408" xr:uid="{00000000-0005-0000-0000-0000EB140000}"/>
    <cellStyle name="Normal 4 4 2 2 2 6 3 2" xfId="14850" xr:uid="{BDCEA92A-EDE4-4A4A-931D-F325E36617A3}"/>
    <cellStyle name="Normal 4 4 2 2 2 6 4" xfId="10632" xr:uid="{DD82091E-A8E2-4CDF-A353-64DF5C9DAA07}"/>
    <cellStyle name="Normal 4 4 2 2 2 7" xfId="2537" xr:uid="{00000000-0005-0000-0000-0000EC140000}"/>
    <cellStyle name="Normal 4 4 2 2 2 7 2" xfId="6821" xr:uid="{00000000-0005-0000-0000-0000ED140000}"/>
    <cellStyle name="Normal 4 4 2 2 2 7 2 2" xfId="15263" xr:uid="{6930521C-E9DA-40DD-B5B0-DFBD95FB717F}"/>
    <cellStyle name="Normal 4 4 2 2 2 7 3" xfId="11045" xr:uid="{1AE0E020-234A-4398-A428-1CA1795BB621}"/>
    <cellStyle name="Normal 4 4 2 2 2 8" xfId="4756" xr:uid="{00000000-0005-0000-0000-0000EE140000}"/>
    <cellStyle name="Normal 4 4 2 2 2 8 2" xfId="13198" xr:uid="{4AE40E8C-F9D8-42AE-80C4-544921E77863}"/>
    <cellStyle name="Normal 4 4 2 2 2 9" xfId="8980" xr:uid="{A34EBC43-1190-47FF-AECE-31BEB5C16E55}"/>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BD3CB8F6-31BA-419B-B6DD-12114C92DA61}"/>
    <cellStyle name="Normal 4 4 2 2 3 2 2 3" xfId="11540" xr:uid="{4A32477B-C1BC-40E1-A6ED-7D78E399D8FA}"/>
    <cellStyle name="Normal 4 4 2 2 3 2 3" xfId="5171" xr:uid="{00000000-0005-0000-0000-0000F3140000}"/>
    <cellStyle name="Normal 4 4 2 2 3 2 3 2" xfId="13613" xr:uid="{C8E63647-189C-4811-9659-BC2D8A8DD452}"/>
    <cellStyle name="Normal 4 4 2 2 3 2 4" xfId="9395" xr:uid="{72C155CA-E5F3-4DE5-ADE3-63221CBA5A24}"/>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92D270DF-3F4B-4014-97A7-38A6413F7DC9}"/>
    <cellStyle name="Normal 4 4 2 2 3 3 2 3" xfId="11953" xr:uid="{27EDB3E8-C206-40F8-B51F-798AAD318F36}"/>
    <cellStyle name="Normal 4 4 2 2 3 3 3" xfId="5584" xr:uid="{00000000-0005-0000-0000-0000F7140000}"/>
    <cellStyle name="Normal 4 4 2 2 3 3 3 2" xfId="14026" xr:uid="{64CF22E8-62A3-48C6-8E31-56DC1F1FC635}"/>
    <cellStyle name="Normal 4 4 2 2 3 3 4" xfId="9808" xr:uid="{7ED6F5F9-B7EB-4DDE-AA5E-76E39B8FCE66}"/>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9A1BC98B-5DCD-4ED4-867D-609CE29E3395}"/>
    <cellStyle name="Normal 4 4 2 2 3 4 2 3" xfId="12366" xr:uid="{D71EC9AE-3878-4FD6-BD64-5BA3B20905A5}"/>
    <cellStyle name="Normal 4 4 2 2 3 4 3" xfId="5997" xr:uid="{00000000-0005-0000-0000-0000FB140000}"/>
    <cellStyle name="Normal 4 4 2 2 3 4 3 2" xfId="14439" xr:uid="{CCF4CD05-8E2E-45FE-B27F-A4874983F03E}"/>
    <cellStyle name="Normal 4 4 2 2 3 4 4" xfId="10221" xr:uid="{9512ED58-2D4F-4CFC-A9F7-6F60BE2D0C16}"/>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98E7A906-916F-4062-9C3E-DBFD871262C9}"/>
    <cellStyle name="Normal 4 4 2 2 3 5 2 3" xfId="12779" xr:uid="{F11A8B2D-54BC-4CE4-9EC3-32025B951807}"/>
    <cellStyle name="Normal 4 4 2 2 3 5 3" xfId="6410" xr:uid="{00000000-0005-0000-0000-0000FF140000}"/>
    <cellStyle name="Normal 4 4 2 2 3 5 3 2" xfId="14852" xr:uid="{2A4B7311-F9D7-4615-BCA3-A4F9D48BDB66}"/>
    <cellStyle name="Normal 4 4 2 2 3 5 4" xfId="10634" xr:uid="{9338A008-C0B0-4A16-AE1A-B927D4EE9D5A}"/>
    <cellStyle name="Normal 4 4 2 2 3 6" xfId="2539" xr:uid="{00000000-0005-0000-0000-000000150000}"/>
    <cellStyle name="Normal 4 4 2 2 3 6 2" xfId="6823" xr:uid="{00000000-0005-0000-0000-000001150000}"/>
    <cellStyle name="Normal 4 4 2 2 3 6 2 2" xfId="15265" xr:uid="{757220F6-BF35-4AFB-8119-949CAD15B7B9}"/>
    <cellStyle name="Normal 4 4 2 2 3 6 3" xfId="11047" xr:uid="{D9B1C214-023F-481A-9059-DD20FE28449F}"/>
    <cellStyle name="Normal 4 4 2 2 3 7" xfId="4758" xr:uid="{00000000-0005-0000-0000-000002150000}"/>
    <cellStyle name="Normal 4 4 2 2 3 7 2" xfId="13200" xr:uid="{DB40EFB3-8510-447A-9D88-C21B43589F5A}"/>
    <cellStyle name="Normal 4 4 2 2 3 8" xfId="8982" xr:uid="{139AB8E0-0F3F-4057-B3A9-2C8008F20D77}"/>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9ACE4321-30FD-4205-AE6D-F18F52128DD3}"/>
    <cellStyle name="Normal 4 4 2 2 4 2 3" xfId="11537" xr:uid="{79526FB6-4A61-49F5-987C-39CA4F638AC2}"/>
    <cellStyle name="Normal 4 4 2 2 4 3" xfId="5168" xr:uid="{00000000-0005-0000-0000-000006150000}"/>
    <cellStyle name="Normal 4 4 2 2 4 3 2" xfId="13610" xr:uid="{59600982-0048-466C-B17D-3B07633CAC0B}"/>
    <cellStyle name="Normal 4 4 2 2 4 4" xfId="9392" xr:uid="{155A889C-CCFA-4FC5-B03D-BC5B2E3CEA62}"/>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7BD46E1A-EA6A-4B54-BFA8-261E6BD174E9}"/>
    <cellStyle name="Normal 4 4 2 2 5 2 3" xfId="11950" xr:uid="{D9F4FC44-89B9-475D-9E37-505356FCDF1E}"/>
    <cellStyle name="Normal 4 4 2 2 5 3" xfId="5581" xr:uid="{00000000-0005-0000-0000-00000A150000}"/>
    <cellStyle name="Normal 4 4 2 2 5 3 2" xfId="14023" xr:uid="{F9BAEBDB-D6C4-4139-98B8-07CDAD125B87}"/>
    <cellStyle name="Normal 4 4 2 2 5 4" xfId="9805" xr:uid="{BCE0BFDE-13E2-4060-90A4-287E56FC9307}"/>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A7BC9238-796E-4A33-8EF8-C44A67902A6F}"/>
    <cellStyle name="Normal 4 4 2 2 6 2 3" xfId="12363" xr:uid="{5181BEB3-74A4-4F8E-9845-33D90F97E988}"/>
    <cellStyle name="Normal 4 4 2 2 6 3" xfId="5994" xr:uid="{00000000-0005-0000-0000-00000E150000}"/>
    <cellStyle name="Normal 4 4 2 2 6 3 2" xfId="14436" xr:uid="{950EB92D-8FF4-4C2E-BAF4-BA46F7466207}"/>
    <cellStyle name="Normal 4 4 2 2 6 4" xfId="10218" xr:uid="{8818615B-580E-48EE-BE7D-BC0AE0B720A7}"/>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DF0CB821-A384-443B-837B-5677B0F9E667}"/>
    <cellStyle name="Normal 4 4 2 2 7 2 3" xfId="12776" xr:uid="{D2629DD0-0C8F-467E-AB04-EE59EFBD114F}"/>
    <cellStyle name="Normal 4 4 2 2 7 3" xfId="6407" xr:uid="{00000000-0005-0000-0000-000012150000}"/>
    <cellStyle name="Normal 4 4 2 2 7 3 2" xfId="14849" xr:uid="{F659F869-F7D4-45A3-97E0-AEBD935A82C0}"/>
    <cellStyle name="Normal 4 4 2 2 7 4" xfId="10631" xr:uid="{0628A0FD-A8B2-404D-8A4E-410CD1454AEE}"/>
    <cellStyle name="Normal 4 4 2 2 8" xfId="2536" xr:uid="{00000000-0005-0000-0000-000013150000}"/>
    <cellStyle name="Normal 4 4 2 2 8 2" xfId="6820" xr:uid="{00000000-0005-0000-0000-000014150000}"/>
    <cellStyle name="Normal 4 4 2 2 8 2 2" xfId="15262" xr:uid="{A9B303AA-1EDB-4CD7-8648-78033BD085CD}"/>
    <cellStyle name="Normal 4 4 2 2 8 3" xfId="11044" xr:uid="{B6883C9A-3955-4A31-8D0B-A450FD04CBFE}"/>
    <cellStyle name="Normal 4 4 2 2 9" xfId="4755" xr:uid="{00000000-0005-0000-0000-000015150000}"/>
    <cellStyle name="Normal 4 4 2 2 9 2" xfId="13197" xr:uid="{46D9AFD7-9C80-4BA3-97F1-C9B31A11A4B8}"/>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1F3873F0-C6CE-4299-8490-BDC34310641D}"/>
    <cellStyle name="Normal 4 4 2 3 2 2 2 3" xfId="11542" xr:uid="{BD213C1C-D0D7-47C8-ADAD-9C5087A84961}"/>
    <cellStyle name="Normal 4 4 2 3 2 2 3" xfId="5173" xr:uid="{00000000-0005-0000-0000-00001B150000}"/>
    <cellStyle name="Normal 4 4 2 3 2 2 3 2" xfId="13615" xr:uid="{911FFA2B-2143-4873-8E33-8D07F6064AE0}"/>
    <cellStyle name="Normal 4 4 2 3 2 2 4" xfId="9397" xr:uid="{6AE8C03D-15FC-4D18-992D-3278BDF17372}"/>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82C78D0B-4DF6-4AD2-BF05-1D642A9A5138}"/>
    <cellStyle name="Normal 4 4 2 3 2 3 2 3" xfId="11955" xr:uid="{BF8AA3AC-40F3-49E6-99AD-BDE5A6255D76}"/>
    <cellStyle name="Normal 4 4 2 3 2 3 3" xfId="5586" xr:uid="{00000000-0005-0000-0000-00001F150000}"/>
    <cellStyle name="Normal 4 4 2 3 2 3 3 2" xfId="14028" xr:uid="{C4C085AD-7844-4F26-AC34-22F90CDAFD8A}"/>
    <cellStyle name="Normal 4 4 2 3 2 3 4" xfId="9810" xr:uid="{6A6F1E8E-79A0-4348-93F5-E45EC65CDD4C}"/>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976F3E71-F0A6-4DC7-972C-723A2FAE033D}"/>
    <cellStyle name="Normal 4 4 2 3 2 4 2 3" xfId="12368" xr:uid="{4E75119F-9651-4521-8330-7A6C86C02AE8}"/>
    <cellStyle name="Normal 4 4 2 3 2 4 3" xfId="5999" xr:uid="{00000000-0005-0000-0000-000023150000}"/>
    <cellStyle name="Normal 4 4 2 3 2 4 3 2" xfId="14441" xr:uid="{2A8F1136-276A-459B-B776-FD80C309854A}"/>
    <cellStyle name="Normal 4 4 2 3 2 4 4" xfId="10223" xr:uid="{386272CE-E9B1-448C-B7A4-333EC9FF104F}"/>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4CCDF226-127D-41E7-9361-3842068A239F}"/>
    <cellStyle name="Normal 4 4 2 3 2 5 2 3" xfId="12781" xr:uid="{CBB5E53E-C79E-4B99-95B0-9706810F3003}"/>
    <cellStyle name="Normal 4 4 2 3 2 5 3" xfId="6412" xr:uid="{00000000-0005-0000-0000-000027150000}"/>
    <cellStyle name="Normal 4 4 2 3 2 5 3 2" xfId="14854" xr:uid="{85A9C608-936F-45AA-88B2-84670EB09E34}"/>
    <cellStyle name="Normal 4 4 2 3 2 5 4" xfId="10636" xr:uid="{F918BCD3-3C43-45AA-BA79-415B99DB7DEA}"/>
    <cellStyle name="Normal 4 4 2 3 2 6" xfId="2541" xr:uid="{00000000-0005-0000-0000-000028150000}"/>
    <cellStyle name="Normal 4 4 2 3 2 6 2" xfId="6825" xr:uid="{00000000-0005-0000-0000-000029150000}"/>
    <cellStyle name="Normal 4 4 2 3 2 6 2 2" xfId="15267" xr:uid="{CE57048A-40B0-42D1-A9E1-71C3FA825A2F}"/>
    <cellStyle name="Normal 4 4 2 3 2 6 3" xfId="11049" xr:uid="{FC8789A1-0DE0-4E79-BBC6-088C26D56075}"/>
    <cellStyle name="Normal 4 4 2 3 2 7" xfId="4760" xr:uid="{00000000-0005-0000-0000-00002A150000}"/>
    <cellStyle name="Normal 4 4 2 3 2 7 2" xfId="13202" xr:uid="{104E1633-3834-44E0-825F-405A882A8D58}"/>
    <cellStyle name="Normal 4 4 2 3 2 8" xfId="8984" xr:uid="{F527CBFC-694A-44A2-BF98-115AF202556B}"/>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2FA86D7D-FED8-479C-ADFF-0324157307D7}"/>
    <cellStyle name="Normal 4 4 2 3 3 2 3" xfId="11541" xr:uid="{87DDEBE9-009E-4CC7-A0B1-31F9DA86C81A}"/>
    <cellStyle name="Normal 4 4 2 3 3 3" xfId="5172" xr:uid="{00000000-0005-0000-0000-00002E150000}"/>
    <cellStyle name="Normal 4 4 2 3 3 3 2" xfId="13614" xr:uid="{A3AD261F-6B54-4E0A-903F-CB8426CB0EC7}"/>
    <cellStyle name="Normal 4 4 2 3 3 4" xfId="9396" xr:uid="{323B8961-405B-495A-806A-4EB391C6FD81}"/>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1BA28171-76C5-4FD7-8F05-621A3C75A161}"/>
    <cellStyle name="Normal 4 4 2 3 4 2 3" xfId="11954" xr:uid="{0D0357FA-B45C-4E5F-82DA-0AB37E529F8B}"/>
    <cellStyle name="Normal 4 4 2 3 4 3" xfId="5585" xr:uid="{00000000-0005-0000-0000-000032150000}"/>
    <cellStyle name="Normal 4 4 2 3 4 3 2" xfId="14027" xr:uid="{2B50A9FC-A4EA-4296-9921-C962A44DDECB}"/>
    <cellStyle name="Normal 4 4 2 3 4 4" xfId="9809" xr:uid="{5000793D-8E80-47A5-A6FE-01F85F4DB74E}"/>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D35A9DA1-06DD-45F3-9500-5A2FFAC2E018}"/>
    <cellStyle name="Normal 4 4 2 3 5 2 3" xfId="12367" xr:uid="{9F1606A5-A6F1-4A22-A4BA-EF6FF412FE02}"/>
    <cellStyle name="Normal 4 4 2 3 5 3" xfId="5998" xr:uid="{00000000-0005-0000-0000-000036150000}"/>
    <cellStyle name="Normal 4 4 2 3 5 3 2" xfId="14440" xr:uid="{374D5087-7395-4B7B-A930-417D95A631BC}"/>
    <cellStyle name="Normal 4 4 2 3 5 4" xfId="10222" xr:uid="{5B1FAE6E-8F5A-48AF-A291-87C070B0C9DD}"/>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ECAB42A5-172D-4C90-B9E7-819BD649C194}"/>
    <cellStyle name="Normal 4 4 2 3 6 2 3" xfId="12780" xr:uid="{C0E31FFF-5D36-4878-86EE-AF5A97A96CE3}"/>
    <cellStyle name="Normal 4 4 2 3 6 3" xfId="6411" xr:uid="{00000000-0005-0000-0000-00003A150000}"/>
    <cellStyle name="Normal 4 4 2 3 6 3 2" xfId="14853" xr:uid="{32428A1B-4525-4781-A612-D40862598D45}"/>
    <cellStyle name="Normal 4 4 2 3 6 4" xfId="10635" xr:uid="{BE474704-E3F3-401E-AAB9-E8290E3E2991}"/>
    <cellStyle name="Normal 4 4 2 3 7" xfId="2540" xr:uid="{00000000-0005-0000-0000-00003B150000}"/>
    <cellStyle name="Normal 4 4 2 3 7 2" xfId="6824" xr:uid="{00000000-0005-0000-0000-00003C150000}"/>
    <cellStyle name="Normal 4 4 2 3 7 2 2" xfId="15266" xr:uid="{0180CF90-9F29-444B-BE2F-A77B682A9AB5}"/>
    <cellStyle name="Normal 4 4 2 3 7 3" xfId="11048" xr:uid="{331BB957-363F-4B0F-B6BA-0709D2F39AC8}"/>
    <cellStyle name="Normal 4 4 2 3 8" xfId="4759" xr:uid="{00000000-0005-0000-0000-00003D150000}"/>
    <cellStyle name="Normal 4 4 2 3 8 2" xfId="13201" xr:uid="{B1B185CA-61D9-4FE8-9404-78683FB1FF61}"/>
    <cellStyle name="Normal 4 4 2 3 9" xfId="8983" xr:uid="{E3F51A48-D33A-4DDB-9F5B-9FC45C7996B3}"/>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FBC09929-F9A2-4262-BF7B-97F25A94546D}"/>
    <cellStyle name="Normal 4 4 2 4 2 2 3" xfId="11543" xr:uid="{802DA0CA-7BB8-45CB-96DC-A539A083448F}"/>
    <cellStyle name="Normal 4 4 2 4 2 3" xfId="5174" xr:uid="{00000000-0005-0000-0000-000042150000}"/>
    <cellStyle name="Normal 4 4 2 4 2 3 2" xfId="13616" xr:uid="{1841FA5F-61DD-4738-A577-8DEF8D5FDA34}"/>
    <cellStyle name="Normal 4 4 2 4 2 4" xfId="9398" xr:uid="{3044ABFF-1EF8-4603-B0A0-59E5D51BBB03}"/>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AB6A44D9-3480-4326-9351-814458FB268C}"/>
    <cellStyle name="Normal 4 4 2 4 3 2 3" xfId="11956" xr:uid="{587BC4FD-B7C5-4EAF-B653-FCE745F85A1B}"/>
    <cellStyle name="Normal 4 4 2 4 3 3" xfId="5587" xr:uid="{00000000-0005-0000-0000-000046150000}"/>
    <cellStyle name="Normal 4 4 2 4 3 3 2" xfId="14029" xr:uid="{326EB2FC-9984-4FF9-812A-6C762A19626F}"/>
    <cellStyle name="Normal 4 4 2 4 3 4" xfId="9811" xr:uid="{303F2E01-8DB9-4631-BA4A-828547709CAE}"/>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55593B19-5D81-461D-BC24-EAB72BC0E8D8}"/>
    <cellStyle name="Normal 4 4 2 4 4 2 3" xfId="12369" xr:uid="{1B8EBD8A-3642-4369-B8DF-6CFDF8753039}"/>
    <cellStyle name="Normal 4 4 2 4 4 3" xfId="6000" xr:uid="{00000000-0005-0000-0000-00004A150000}"/>
    <cellStyle name="Normal 4 4 2 4 4 3 2" xfId="14442" xr:uid="{03F2945D-5696-4215-931E-251C9F5A033E}"/>
    <cellStyle name="Normal 4 4 2 4 4 4" xfId="10224" xr:uid="{E0A26B8E-34AD-45C2-B3B2-232950A674FD}"/>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62B58DBF-DCBC-443A-B65C-314E9959C6C8}"/>
    <cellStyle name="Normal 4 4 2 4 5 2 3" xfId="12782" xr:uid="{DF536152-7311-474C-8EC9-C5C83160D85C}"/>
    <cellStyle name="Normal 4 4 2 4 5 3" xfId="6413" xr:uid="{00000000-0005-0000-0000-00004E150000}"/>
    <cellStyle name="Normal 4 4 2 4 5 3 2" xfId="14855" xr:uid="{AC985747-8DA9-4013-A681-7DF1A84B1841}"/>
    <cellStyle name="Normal 4 4 2 4 5 4" xfId="10637" xr:uid="{BC34F3B7-8E81-47C0-BE1A-59A77D419648}"/>
    <cellStyle name="Normal 4 4 2 4 6" xfId="2542" xr:uid="{00000000-0005-0000-0000-00004F150000}"/>
    <cellStyle name="Normal 4 4 2 4 6 2" xfId="6826" xr:uid="{00000000-0005-0000-0000-000050150000}"/>
    <cellStyle name="Normal 4 4 2 4 6 2 2" xfId="15268" xr:uid="{83B58738-D169-46C1-8CD3-965911B76150}"/>
    <cellStyle name="Normal 4 4 2 4 6 3" xfId="11050" xr:uid="{29731B31-5C77-4090-88CF-CD7DDAE565C0}"/>
    <cellStyle name="Normal 4 4 2 4 7" xfId="4761" xr:uid="{00000000-0005-0000-0000-000051150000}"/>
    <cellStyle name="Normal 4 4 2 4 7 2" xfId="13203" xr:uid="{4680A34E-B630-4F7E-B4FB-BBD1574D2531}"/>
    <cellStyle name="Normal 4 4 2 4 8" xfId="8985" xr:uid="{0A323C5D-69E6-4BB2-97B1-13F4A5D88EF6}"/>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3F99E784-106C-4A6A-B551-2EA53C0201F1}"/>
    <cellStyle name="Normal 4 4 2 5 2 3" xfId="11536" xr:uid="{C975BF1D-3DDA-4F24-A4A0-6E888481747B}"/>
    <cellStyle name="Normal 4 4 2 5 3" xfId="5167" xr:uid="{00000000-0005-0000-0000-000055150000}"/>
    <cellStyle name="Normal 4 4 2 5 3 2" xfId="13609" xr:uid="{3D5A51D0-8799-429E-A812-0F69C6726266}"/>
    <cellStyle name="Normal 4 4 2 5 4" xfId="9391" xr:uid="{5DCF70EA-B6CC-40AF-AE9E-AD40C5A2A202}"/>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D656D04F-3042-42B8-9371-A00AA467F75A}"/>
    <cellStyle name="Normal 4 4 2 6 2 3" xfId="11949" xr:uid="{A3A4E760-EB8A-40AF-AB58-F5ACED1E9A0C}"/>
    <cellStyle name="Normal 4 4 2 6 3" xfId="5580" xr:uid="{00000000-0005-0000-0000-000059150000}"/>
    <cellStyle name="Normal 4 4 2 6 3 2" xfId="14022" xr:uid="{6BAD1491-C72C-4CCE-82BE-7B5DB4D87A28}"/>
    <cellStyle name="Normal 4 4 2 6 4" xfId="9804" xr:uid="{C7C1CFE2-27FF-4164-957A-D4F0AAAA1880}"/>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59B8E421-337C-4C2C-B692-06A1D7840A0E}"/>
    <cellStyle name="Normal 4 4 2 7 2 3" xfId="12362" xr:uid="{BC58B02A-FE89-4ED4-A3E8-1DA2E7BF0D2F}"/>
    <cellStyle name="Normal 4 4 2 7 3" xfId="5993" xr:uid="{00000000-0005-0000-0000-00005D150000}"/>
    <cellStyle name="Normal 4 4 2 7 3 2" xfId="14435" xr:uid="{4953D508-1900-466A-AB27-046471DFDB6C}"/>
    <cellStyle name="Normal 4 4 2 7 4" xfId="10217" xr:uid="{B269BB1F-EEB2-4181-8A5B-1F78FBA9B8B8}"/>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8442C8D7-EF09-436D-9FBE-5599A23A207D}"/>
    <cellStyle name="Normal 4 4 2 8 2 3" xfId="12775" xr:uid="{66D92267-88F0-4160-8C93-DA408A8F3D85}"/>
    <cellStyle name="Normal 4 4 2 8 3" xfId="6406" xr:uid="{00000000-0005-0000-0000-000061150000}"/>
    <cellStyle name="Normal 4 4 2 8 3 2" xfId="14848" xr:uid="{EAD645F4-4FB4-43B6-88D2-361EC946AEC4}"/>
    <cellStyle name="Normal 4 4 2 8 4" xfId="10630" xr:uid="{110236B2-7B0F-4E35-8276-F975D6AED339}"/>
    <cellStyle name="Normal 4 4 2 9" xfId="2535" xr:uid="{00000000-0005-0000-0000-000062150000}"/>
    <cellStyle name="Normal 4 4 2 9 2" xfId="6819" xr:uid="{00000000-0005-0000-0000-000063150000}"/>
    <cellStyle name="Normal 4 4 2 9 2 2" xfId="15261" xr:uid="{88F8B21E-42E1-477A-ACD9-7577CD8D419E}"/>
    <cellStyle name="Normal 4 4 2 9 3" xfId="11043" xr:uid="{E9C17176-DBA7-4863-9221-BAC56D31F114}"/>
    <cellStyle name="Normal 4 4 3" xfId="387" xr:uid="{00000000-0005-0000-0000-000064150000}"/>
    <cellStyle name="Normal 4 4 3 10" xfId="8986" xr:uid="{BB434474-816D-4FDA-B9AA-542D8084C944}"/>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22EFEA4E-58AC-4150-B802-AC8558C6E03B}"/>
    <cellStyle name="Normal 4 4 3 2 2 2 2 3" xfId="11546" xr:uid="{ED59ED44-0209-4D7C-AD30-0AE5122BB9F4}"/>
    <cellStyle name="Normal 4 4 3 2 2 2 3" xfId="5177" xr:uid="{00000000-0005-0000-0000-00006A150000}"/>
    <cellStyle name="Normal 4 4 3 2 2 2 3 2" xfId="13619" xr:uid="{15512EF9-A02C-4C97-A7BD-A53CEEEB9171}"/>
    <cellStyle name="Normal 4 4 3 2 2 2 4" xfId="9401" xr:uid="{63175DF9-A924-410E-8C26-0C98F34741BA}"/>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DC9B828F-EC52-4B08-8D46-313288C6D913}"/>
    <cellStyle name="Normal 4 4 3 2 2 3 2 3" xfId="11959" xr:uid="{92183F33-524F-4633-AB71-E7345D3C9C34}"/>
    <cellStyle name="Normal 4 4 3 2 2 3 3" xfId="5590" xr:uid="{00000000-0005-0000-0000-00006E150000}"/>
    <cellStyle name="Normal 4 4 3 2 2 3 3 2" xfId="14032" xr:uid="{66D32D14-CCD2-4588-91F5-24B341FAB862}"/>
    <cellStyle name="Normal 4 4 3 2 2 3 4" xfId="9814" xr:uid="{56F88434-7B6C-41C1-B299-B5D73374489C}"/>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B2C8C8B6-97CD-4938-B717-700FE2E7D905}"/>
    <cellStyle name="Normal 4 4 3 2 2 4 2 3" xfId="12372" xr:uid="{D0526E0F-3944-40E0-B576-F78079CCA1B2}"/>
    <cellStyle name="Normal 4 4 3 2 2 4 3" xfId="6003" xr:uid="{00000000-0005-0000-0000-000072150000}"/>
    <cellStyle name="Normal 4 4 3 2 2 4 3 2" xfId="14445" xr:uid="{FCED9DBD-50FD-48EF-A308-37CD9D85F2E7}"/>
    <cellStyle name="Normal 4 4 3 2 2 4 4" xfId="10227" xr:uid="{A5EE3044-7CE3-4F67-845A-2679172FC0C7}"/>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847A9955-7753-4585-9C09-DEC486996C84}"/>
    <cellStyle name="Normal 4 4 3 2 2 5 2 3" xfId="12785" xr:uid="{1C63A1C2-0D9F-47D1-895A-B257C790C0E7}"/>
    <cellStyle name="Normal 4 4 3 2 2 5 3" xfId="6416" xr:uid="{00000000-0005-0000-0000-000076150000}"/>
    <cellStyle name="Normal 4 4 3 2 2 5 3 2" xfId="14858" xr:uid="{25D8301F-BD15-448E-95DB-C011F18C8A8E}"/>
    <cellStyle name="Normal 4 4 3 2 2 5 4" xfId="10640" xr:uid="{605C8169-CD38-46F5-93C7-7E57863510E7}"/>
    <cellStyle name="Normal 4 4 3 2 2 6" xfId="2545" xr:uid="{00000000-0005-0000-0000-000077150000}"/>
    <cellStyle name="Normal 4 4 3 2 2 6 2" xfId="6829" xr:uid="{00000000-0005-0000-0000-000078150000}"/>
    <cellStyle name="Normal 4 4 3 2 2 6 2 2" xfId="15271" xr:uid="{08711921-5B89-45A6-B344-5BB5844969B6}"/>
    <cellStyle name="Normal 4 4 3 2 2 6 3" xfId="11053" xr:uid="{865A84E0-D160-4368-A51B-6F9DB93A684B}"/>
    <cellStyle name="Normal 4 4 3 2 2 7" xfId="4764" xr:uid="{00000000-0005-0000-0000-000079150000}"/>
    <cellStyle name="Normal 4 4 3 2 2 7 2" xfId="13206" xr:uid="{2F2D8EC3-BD44-4350-BD60-386E3448DF93}"/>
    <cellStyle name="Normal 4 4 3 2 2 8" xfId="8988" xr:uid="{1E9743C8-8948-44D2-9F02-3618FB394123}"/>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F902DA35-353D-4103-A6F0-1AE096512F8C}"/>
    <cellStyle name="Normal 4 4 3 2 3 2 3" xfId="11545" xr:uid="{6C8094DA-1C06-4324-9F98-3BEE36AF5E00}"/>
    <cellStyle name="Normal 4 4 3 2 3 3" xfId="5176" xr:uid="{00000000-0005-0000-0000-00007D150000}"/>
    <cellStyle name="Normal 4 4 3 2 3 3 2" xfId="13618" xr:uid="{CA23E064-105F-42BE-B3B2-BA1F4F81F331}"/>
    <cellStyle name="Normal 4 4 3 2 3 4" xfId="9400" xr:uid="{04AA1BD3-7192-4654-8A2E-E0ED4131BC18}"/>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039704D7-7674-4288-BE52-5F8DA161F4E1}"/>
    <cellStyle name="Normal 4 4 3 2 4 2 3" xfId="11958" xr:uid="{B4C7079A-4586-4282-83A8-F925CE39069F}"/>
    <cellStyle name="Normal 4 4 3 2 4 3" xfId="5589" xr:uid="{00000000-0005-0000-0000-000081150000}"/>
    <cellStyle name="Normal 4 4 3 2 4 3 2" xfId="14031" xr:uid="{CB86C5B3-E43D-4095-A280-C5F81913840B}"/>
    <cellStyle name="Normal 4 4 3 2 4 4" xfId="9813" xr:uid="{271C7A69-3B2B-4B41-BCD4-25A1A35D97EA}"/>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5DEC0F83-73F3-4A34-91A7-9CF654E5A3EF}"/>
    <cellStyle name="Normal 4 4 3 2 5 2 3" xfId="12371" xr:uid="{D99DE40E-0770-4AD0-8BD8-A31CC47E2FF7}"/>
    <cellStyle name="Normal 4 4 3 2 5 3" xfId="6002" xr:uid="{00000000-0005-0000-0000-000085150000}"/>
    <cellStyle name="Normal 4 4 3 2 5 3 2" xfId="14444" xr:uid="{108ED34A-E1A9-4336-B896-024713A329B1}"/>
    <cellStyle name="Normal 4 4 3 2 5 4" xfId="10226" xr:uid="{6BC174C4-65DD-48DA-8320-171FCAD27CB1}"/>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4EB0E977-81A9-4D18-9CEA-179B9A9E376A}"/>
    <cellStyle name="Normal 4 4 3 2 6 2 3" xfId="12784" xr:uid="{BECF94F2-E076-49EA-BFAE-7734EC932FAA}"/>
    <cellStyle name="Normal 4 4 3 2 6 3" xfId="6415" xr:uid="{00000000-0005-0000-0000-000089150000}"/>
    <cellStyle name="Normal 4 4 3 2 6 3 2" xfId="14857" xr:uid="{2B328465-88FF-4CF9-B11D-875BC5541732}"/>
    <cellStyle name="Normal 4 4 3 2 6 4" xfId="10639" xr:uid="{7D77923F-7DC2-43C0-BA01-896EDDF9844C}"/>
    <cellStyle name="Normal 4 4 3 2 7" xfId="2544" xr:uid="{00000000-0005-0000-0000-00008A150000}"/>
    <cellStyle name="Normal 4 4 3 2 7 2" xfId="6828" xr:uid="{00000000-0005-0000-0000-00008B150000}"/>
    <cellStyle name="Normal 4 4 3 2 7 2 2" xfId="15270" xr:uid="{096BBBF0-38E5-4E56-9432-1BA0242B1A41}"/>
    <cellStyle name="Normal 4 4 3 2 7 3" xfId="11052" xr:uid="{267DF08C-B7ED-49D5-884A-9C86F8959DF5}"/>
    <cellStyle name="Normal 4 4 3 2 8" xfId="4763" xr:uid="{00000000-0005-0000-0000-00008C150000}"/>
    <cellStyle name="Normal 4 4 3 2 8 2" xfId="13205" xr:uid="{79136AA8-BF02-4522-B08B-925B7CA38A1C}"/>
    <cellStyle name="Normal 4 4 3 2 9" xfId="8987" xr:uid="{D4BBBDB5-447A-4743-8F64-4EF4D6D1C08C}"/>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35FA14C6-C7B3-416C-A5BD-3EAE3E9AB1BD}"/>
    <cellStyle name="Normal 4 4 3 3 2 2 3" xfId="11547" xr:uid="{B6FF9507-C00B-48FB-AD43-E747970BED7D}"/>
    <cellStyle name="Normal 4 4 3 3 2 3" xfId="5178" xr:uid="{00000000-0005-0000-0000-000091150000}"/>
    <cellStyle name="Normal 4 4 3 3 2 3 2" xfId="13620" xr:uid="{C1D46415-B598-4CA1-9257-04C1372AD66E}"/>
    <cellStyle name="Normal 4 4 3 3 2 4" xfId="9402" xr:uid="{DF7F11B7-3B60-4969-BC8A-042CB25D8E11}"/>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EA1ABE1C-4C21-4A16-8F66-F2347837C59A}"/>
    <cellStyle name="Normal 4 4 3 3 3 2 3" xfId="11960" xr:uid="{C6E5F46C-3FB2-40E0-A1EF-0F80FD854C72}"/>
    <cellStyle name="Normal 4 4 3 3 3 3" xfId="5591" xr:uid="{00000000-0005-0000-0000-000095150000}"/>
    <cellStyle name="Normal 4 4 3 3 3 3 2" xfId="14033" xr:uid="{135F3CFE-7F7F-4FE2-823B-FF4184C4778B}"/>
    <cellStyle name="Normal 4 4 3 3 3 4" xfId="9815" xr:uid="{7462B783-44F5-4318-8BA3-845FB88217A4}"/>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C91E7245-D124-4C8D-A0CA-9E5B31E24E76}"/>
    <cellStyle name="Normal 4 4 3 3 4 2 3" xfId="12373" xr:uid="{10E29AED-7DBC-4B51-AF66-D84C53F16DC1}"/>
    <cellStyle name="Normal 4 4 3 3 4 3" xfId="6004" xr:uid="{00000000-0005-0000-0000-000099150000}"/>
    <cellStyle name="Normal 4 4 3 3 4 3 2" xfId="14446" xr:uid="{70A2FE1A-D9DF-4A79-AC1C-865783452301}"/>
    <cellStyle name="Normal 4 4 3 3 4 4" xfId="10228" xr:uid="{545415D3-254C-40EF-9503-0B6706D6561B}"/>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66E51C29-0690-487F-A7CB-ABF79DB7CD86}"/>
    <cellStyle name="Normal 4 4 3 3 5 2 3" xfId="12786" xr:uid="{F352D124-4981-41D0-B214-CECDE6AC8B40}"/>
    <cellStyle name="Normal 4 4 3 3 5 3" xfId="6417" xr:uid="{00000000-0005-0000-0000-00009D150000}"/>
    <cellStyle name="Normal 4 4 3 3 5 3 2" xfId="14859" xr:uid="{10726108-E084-48E7-8E3E-2B71E1A5DC1D}"/>
    <cellStyle name="Normal 4 4 3 3 5 4" xfId="10641" xr:uid="{51149FEC-692D-4F20-8C84-3D252D6FAE1D}"/>
    <cellStyle name="Normal 4 4 3 3 6" xfId="2546" xr:uid="{00000000-0005-0000-0000-00009E150000}"/>
    <cellStyle name="Normal 4 4 3 3 6 2" xfId="6830" xr:uid="{00000000-0005-0000-0000-00009F150000}"/>
    <cellStyle name="Normal 4 4 3 3 6 2 2" xfId="15272" xr:uid="{79996511-E65C-4F0C-AA90-85FD496E27FF}"/>
    <cellStyle name="Normal 4 4 3 3 6 3" xfId="11054" xr:uid="{0B6F29E3-79B7-4BB5-B1F5-532AC86E66E3}"/>
    <cellStyle name="Normal 4 4 3 3 7" xfId="4765" xr:uid="{00000000-0005-0000-0000-0000A0150000}"/>
    <cellStyle name="Normal 4 4 3 3 7 2" xfId="13207" xr:uid="{C235E130-F48D-4A1E-B82D-740903DFF9B9}"/>
    <cellStyle name="Normal 4 4 3 3 8" xfId="8989" xr:uid="{44710A4A-50DB-4FBB-84FB-7A61040BAD36}"/>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1435FE29-270A-4FF2-94C6-2E04825282D7}"/>
    <cellStyle name="Normal 4 4 3 4 2 3" xfId="11544" xr:uid="{D7D6AB97-6DA5-4A4F-826B-F9565AD08332}"/>
    <cellStyle name="Normal 4 4 3 4 3" xfId="5175" xr:uid="{00000000-0005-0000-0000-0000A4150000}"/>
    <cellStyle name="Normal 4 4 3 4 3 2" xfId="13617" xr:uid="{EF344BB5-849A-45CC-A858-F20B002D09B1}"/>
    <cellStyle name="Normal 4 4 3 4 4" xfId="9399" xr:uid="{F4E25323-E617-4079-B4F9-4B7599D1A7F1}"/>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CE17877A-08A7-460C-94B1-AE461EF4D165}"/>
    <cellStyle name="Normal 4 4 3 5 2 3" xfId="11957" xr:uid="{EEDBE45E-F23A-4EE8-8136-05105A99E3E7}"/>
    <cellStyle name="Normal 4 4 3 5 3" xfId="5588" xr:uid="{00000000-0005-0000-0000-0000A8150000}"/>
    <cellStyle name="Normal 4 4 3 5 3 2" xfId="14030" xr:uid="{9D378A2D-0619-48FA-AC1E-76A78542D68F}"/>
    <cellStyle name="Normal 4 4 3 5 4" xfId="9812" xr:uid="{C257D29E-AC9F-40C8-AF9E-C45CC8F5355F}"/>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35B1133E-25A2-4700-B130-BF30A5CFD43D}"/>
    <cellStyle name="Normal 4 4 3 6 2 3" xfId="12370" xr:uid="{B0F53280-15A3-4F7F-85F8-00D5517D4FC0}"/>
    <cellStyle name="Normal 4 4 3 6 3" xfId="6001" xr:uid="{00000000-0005-0000-0000-0000AC150000}"/>
    <cellStyle name="Normal 4 4 3 6 3 2" xfId="14443" xr:uid="{AE8A2424-AC91-47A6-8B10-B8AF41AA39DA}"/>
    <cellStyle name="Normal 4 4 3 6 4" xfId="10225" xr:uid="{27593BCD-C554-4FAD-956F-536818C6B4C6}"/>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BF05E198-F6B1-4496-99DA-2DCE544B5BCB}"/>
    <cellStyle name="Normal 4 4 3 7 2 3" xfId="12783" xr:uid="{6914BEAC-A161-437C-87DC-FAC00BBE91BB}"/>
    <cellStyle name="Normal 4 4 3 7 3" xfId="6414" xr:uid="{00000000-0005-0000-0000-0000B0150000}"/>
    <cellStyle name="Normal 4 4 3 7 3 2" xfId="14856" xr:uid="{60690DFC-0817-4B52-9AA5-4C03DB74DFBE}"/>
    <cellStyle name="Normal 4 4 3 7 4" xfId="10638" xr:uid="{13D0DE78-EDEC-4E98-9BFE-E2A0A0689A7C}"/>
    <cellStyle name="Normal 4 4 3 8" xfId="2543" xr:uid="{00000000-0005-0000-0000-0000B1150000}"/>
    <cellStyle name="Normal 4 4 3 8 2" xfId="6827" xr:uid="{00000000-0005-0000-0000-0000B2150000}"/>
    <cellStyle name="Normal 4 4 3 8 2 2" xfId="15269" xr:uid="{A06A5FB7-38AF-4F5D-872D-7329D445F928}"/>
    <cellStyle name="Normal 4 4 3 8 3" xfId="11051" xr:uid="{484DD6B5-74A6-4C5E-9FDA-B33D67C6075E}"/>
    <cellStyle name="Normal 4 4 3 9" xfId="4762" xr:uid="{00000000-0005-0000-0000-0000B3150000}"/>
    <cellStyle name="Normal 4 4 3 9 2" xfId="13204" xr:uid="{65F0EA5E-49DE-4D1B-83A3-601D7F9EEDD7}"/>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0CF41C5E-FF05-4F90-9320-BD4324AB0441}"/>
    <cellStyle name="Normal 4 4 4 2 2 2 3" xfId="11549" xr:uid="{6D5015F3-C508-4F63-B982-38DB8CA1BD1A}"/>
    <cellStyle name="Normal 4 4 4 2 2 3" xfId="5180" xr:uid="{00000000-0005-0000-0000-0000B9150000}"/>
    <cellStyle name="Normal 4 4 4 2 2 3 2" xfId="13622" xr:uid="{7A7F908F-DB07-465A-B073-BB3C17992589}"/>
    <cellStyle name="Normal 4 4 4 2 2 4" xfId="9404" xr:uid="{6C3E0C98-3F41-4102-AF4F-5276243BD373}"/>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8A1AF3AE-1A83-4993-9656-8FAD14F33471}"/>
    <cellStyle name="Normal 4 4 4 2 3 2 3" xfId="11962" xr:uid="{D89917D6-136D-4FF7-B074-6E28DA3C16B0}"/>
    <cellStyle name="Normal 4 4 4 2 3 3" xfId="5593" xr:uid="{00000000-0005-0000-0000-0000BD150000}"/>
    <cellStyle name="Normal 4 4 4 2 3 3 2" xfId="14035" xr:uid="{65775932-0B40-4C19-9CEB-F7EA04DCBA90}"/>
    <cellStyle name="Normal 4 4 4 2 3 4" xfId="9817" xr:uid="{F62031C2-08F3-4803-98BE-6567280F30A3}"/>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414D19EF-DB67-4C46-AA0D-D1DEFE3B7AF4}"/>
    <cellStyle name="Normal 4 4 4 2 4 2 3" xfId="12375" xr:uid="{03425B7E-F23F-4098-877D-87B7F148D32A}"/>
    <cellStyle name="Normal 4 4 4 2 4 3" xfId="6006" xr:uid="{00000000-0005-0000-0000-0000C1150000}"/>
    <cellStyle name="Normal 4 4 4 2 4 3 2" xfId="14448" xr:uid="{133D23DE-A0A8-4EEB-BC40-47B923D96962}"/>
    <cellStyle name="Normal 4 4 4 2 4 4" xfId="10230" xr:uid="{44BCB83F-6B12-41DF-9233-99540E9D1C0C}"/>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E122517E-7970-4DF2-B251-2E4C1E79335F}"/>
    <cellStyle name="Normal 4 4 4 2 5 2 3" xfId="12788" xr:uid="{BB0FBA82-AB1C-484D-A809-D0B89D5108E5}"/>
    <cellStyle name="Normal 4 4 4 2 5 3" xfId="6419" xr:uid="{00000000-0005-0000-0000-0000C5150000}"/>
    <cellStyle name="Normal 4 4 4 2 5 3 2" xfId="14861" xr:uid="{C8D0FDF6-516E-4EFE-845B-4507BE8928AC}"/>
    <cellStyle name="Normal 4 4 4 2 5 4" xfId="10643" xr:uid="{D98E8E7E-0A92-4CB3-9BA6-FBDA4582B5C9}"/>
    <cellStyle name="Normal 4 4 4 2 6" xfId="2548" xr:uid="{00000000-0005-0000-0000-0000C6150000}"/>
    <cellStyle name="Normal 4 4 4 2 6 2" xfId="6832" xr:uid="{00000000-0005-0000-0000-0000C7150000}"/>
    <cellStyle name="Normal 4 4 4 2 6 2 2" xfId="15274" xr:uid="{681E6089-F3F8-499C-9741-88DA871A2499}"/>
    <cellStyle name="Normal 4 4 4 2 6 3" xfId="11056" xr:uid="{844113ED-DF92-4B2F-8709-6462D2F57742}"/>
    <cellStyle name="Normal 4 4 4 2 7" xfId="4767" xr:uid="{00000000-0005-0000-0000-0000C8150000}"/>
    <cellStyle name="Normal 4 4 4 2 7 2" xfId="13209" xr:uid="{8B32432F-5C84-4101-9A5A-66D10F4A7747}"/>
    <cellStyle name="Normal 4 4 4 2 8" xfId="8991" xr:uid="{23DCA3F6-D840-470A-8114-42B9E01EE13B}"/>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3BE5EBBF-054A-4538-8378-6D0AF0E752F2}"/>
    <cellStyle name="Normal 4 4 4 3 2 3" xfId="11548" xr:uid="{98694B25-79C0-4E3E-8178-AA08A7D2CC27}"/>
    <cellStyle name="Normal 4 4 4 3 3" xfId="5179" xr:uid="{00000000-0005-0000-0000-0000CC150000}"/>
    <cellStyle name="Normal 4 4 4 3 3 2" xfId="13621" xr:uid="{5302A529-F160-45B1-91E3-8990A49D39DD}"/>
    <cellStyle name="Normal 4 4 4 3 4" xfId="9403" xr:uid="{49ADCA1A-8BD2-4323-B2B6-13CAB628D03C}"/>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766AAFB3-A6C6-49DB-BFA5-733E86B9DDF1}"/>
    <cellStyle name="Normal 4 4 4 4 2 3" xfId="11961" xr:uid="{57AF594A-65E0-4C34-B14C-30C6E5F169FB}"/>
    <cellStyle name="Normal 4 4 4 4 3" xfId="5592" xr:uid="{00000000-0005-0000-0000-0000D0150000}"/>
    <cellStyle name="Normal 4 4 4 4 3 2" xfId="14034" xr:uid="{87DC2A45-648B-452D-B9CF-6FCB42F11914}"/>
    <cellStyle name="Normal 4 4 4 4 4" xfId="9816" xr:uid="{86A56B45-C102-4993-9B49-72B6A61C221D}"/>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FA9729B6-A226-4B9D-A970-74E05456FBDF}"/>
    <cellStyle name="Normal 4 4 4 5 2 3" xfId="12374" xr:uid="{3705153A-AE92-4A89-A925-10C9D77DD6FE}"/>
    <cellStyle name="Normal 4 4 4 5 3" xfId="6005" xr:uid="{00000000-0005-0000-0000-0000D4150000}"/>
    <cellStyle name="Normal 4 4 4 5 3 2" xfId="14447" xr:uid="{6DE4C3C0-55A1-4205-9D45-5CEFAF3E4656}"/>
    <cellStyle name="Normal 4 4 4 5 4" xfId="10229" xr:uid="{37DB9161-5771-41E7-BB6A-273980951CBF}"/>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2724D226-4375-49A5-9EF1-D1066229A0FB}"/>
    <cellStyle name="Normal 4 4 4 6 2 3" xfId="12787" xr:uid="{1C7EA234-888A-4DDB-BB20-789244415CDF}"/>
    <cellStyle name="Normal 4 4 4 6 3" xfId="6418" xr:uid="{00000000-0005-0000-0000-0000D8150000}"/>
    <cellStyle name="Normal 4 4 4 6 3 2" xfId="14860" xr:uid="{7CAA0759-C61A-4358-8703-00A654CBB5EC}"/>
    <cellStyle name="Normal 4 4 4 6 4" xfId="10642" xr:uid="{70122FB9-F24F-4D67-91C4-A050711DD651}"/>
    <cellStyle name="Normal 4 4 4 7" xfId="2547" xr:uid="{00000000-0005-0000-0000-0000D9150000}"/>
    <cellStyle name="Normal 4 4 4 7 2" xfId="6831" xr:uid="{00000000-0005-0000-0000-0000DA150000}"/>
    <cellStyle name="Normal 4 4 4 7 2 2" xfId="15273" xr:uid="{00EACC3B-F4D8-4BC0-BBBC-24FF6D8933D4}"/>
    <cellStyle name="Normal 4 4 4 7 3" xfId="11055" xr:uid="{F34D2763-A950-4F7F-8176-27770F40065C}"/>
    <cellStyle name="Normal 4 4 4 8" xfId="4766" xr:uid="{00000000-0005-0000-0000-0000DB150000}"/>
    <cellStyle name="Normal 4 4 4 8 2" xfId="13208" xr:uid="{F80CD122-2A01-4EB3-A37B-960C51044E2C}"/>
    <cellStyle name="Normal 4 4 4 9" xfId="8990" xr:uid="{BC4F301F-73A6-4834-B3FB-E08D9E325F1D}"/>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74E3ECAB-C379-4929-A3E0-5BF4A25F468A}"/>
    <cellStyle name="Normal 4 4 5 2 2 3" xfId="11550" xr:uid="{8281AE74-43A6-4C47-BF25-B733E12DBF88}"/>
    <cellStyle name="Normal 4 4 5 2 3" xfId="5181" xr:uid="{00000000-0005-0000-0000-0000E0150000}"/>
    <cellStyle name="Normal 4 4 5 2 3 2" xfId="13623" xr:uid="{86E2D4B8-3F72-4EE4-B5EA-C640676C52C5}"/>
    <cellStyle name="Normal 4 4 5 2 4" xfId="9405" xr:uid="{A1D6D675-3B64-4D86-9D17-90A4FE5CE2E3}"/>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7EB93193-7263-47D6-891C-3E692870D271}"/>
    <cellStyle name="Normal 4 4 5 3 2 3" xfId="11963" xr:uid="{4E7A6D72-6C96-4CB7-9AFC-3676510B78C0}"/>
    <cellStyle name="Normal 4 4 5 3 3" xfId="5594" xr:uid="{00000000-0005-0000-0000-0000E4150000}"/>
    <cellStyle name="Normal 4 4 5 3 3 2" xfId="14036" xr:uid="{02EEC822-A728-486C-A17D-6ACCDB5A59FB}"/>
    <cellStyle name="Normal 4 4 5 3 4" xfId="9818" xr:uid="{88B9A12A-8F52-4A23-B0E0-F6A57250D010}"/>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9EC82532-D9A9-4F15-9ED1-9E1C86A60A5A}"/>
    <cellStyle name="Normal 4 4 5 4 2 3" xfId="12376" xr:uid="{EBF71683-7062-4620-BBB2-171C210DB5D5}"/>
    <cellStyle name="Normal 4 4 5 4 3" xfId="6007" xr:uid="{00000000-0005-0000-0000-0000E8150000}"/>
    <cellStyle name="Normal 4 4 5 4 3 2" xfId="14449" xr:uid="{2AD47B57-2EEF-42CE-AC50-62CB46A08439}"/>
    <cellStyle name="Normal 4 4 5 4 4" xfId="10231" xr:uid="{DEB9E2AB-B58F-4D5C-8EBF-8129519620B2}"/>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87DA3242-CA09-4C80-9B26-71B9229CBEEC}"/>
    <cellStyle name="Normal 4 4 5 5 2 3" xfId="12789" xr:uid="{B8206463-D58E-4643-A4AC-A4748A4E648B}"/>
    <cellStyle name="Normal 4 4 5 5 3" xfId="6420" xr:uid="{00000000-0005-0000-0000-0000EC150000}"/>
    <cellStyle name="Normal 4 4 5 5 3 2" xfId="14862" xr:uid="{BFDFB71A-D42E-45F7-9507-234129EE15A4}"/>
    <cellStyle name="Normal 4 4 5 5 4" xfId="10644" xr:uid="{5D85558C-FD02-412F-B47D-AE3D5D9B0FDD}"/>
    <cellStyle name="Normal 4 4 5 6" xfId="2549" xr:uid="{00000000-0005-0000-0000-0000ED150000}"/>
    <cellStyle name="Normal 4 4 5 6 2" xfId="6833" xr:uid="{00000000-0005-0000-0000-0000EE150000}"/>
    <cellStyle name="Normal 4 4 5 6 2 2" xfId="15275" xr:uid="{DDFAC2F4-4077-4131-B941-65BD73FC7D70}"/>
    <cellStyle name="Normal 4 4 5 6 3" xfId="11057" xr:uid="{22EF0FAD-F55E-469B-AE24-B54845637FEF}"/>
    <cellStyle name="Normal 4 4 5 7" xfId="4768" xr:uid="{00000000-0005-0000-0000-0000EF150000}"/>
    <cellStyle name="Normal 4 4 5 7 2" xfId="13210" xr:uid="{67806EC4-ADBC-4B01-B1CB-8F1C06CF2CE6}"/>
    <cellStyle name="Normal 4 4 5 8" xfId="8992" xr:uid="{7B17FB05-A787-4659-91D5-0EA7DBBBA6ED}"/>
    <cellStyle name="Normal 4 4 6" xfId="853" xr:uid="{00000000-0005-0000-0000-0000F0150000}"/>
    <cellStyle name="Normal 4 4 6 2" xfId="3088" xr:uid="{00000000-0005-0000-0000-0000F1150000}"/>
    <cellStyle name="Normal 4 4 6 2 2" xfId="7311" xr:uid="{00000000-0005-0000-0000-0000F2150000}"/>
    <cellStyle name="Normal 4 4 6 2 2 2" xfId="15753" xr:uid="{37A3CC15-2F82-4E97-AC3B-ED117FEC4E55}"/>
    <cellStyle name="Normal 4 4 6 2 3" xfId="11535" xr:uid="{9436AC4A-704A-448A-86C7-B77FF3BD43F7}"/>
    <cellStyle name="Normal 4 4 6 3" xfId="5166" xr:uid="{00000000-0005-0000-0000-0000F3150000}"/>
    <cellStyle name="Normal 4 4 6 3 2" xfId="13608" xr:uid="{0F857A21-A988-49DC-8B7E-C6FFA52334D4}"/>
    <cellStyle name="Normal 4 4 6 4" xfId="9390" xr:uid="{05FDE937-5AE8-4C22-9A5F-F8C47AE12F26}"/>
    <cellStyle name="Normal 4 4 7" xfId="1271" xr:uid="{00000000-0005-0000-0000-0000F4150000}"/>
    <cellStyle name="Normal 4 4 7 2" xfId="3501" xr:uid="{00000000-0005-0000-0000-0000F5150000}"/>
    <cellStyle name="Normal 4 4 7 2 2" xfId="7724" xr:uid="{00000000-0005-0000-0000-0000F6150000}"/>
    <cellStyle name="Normal 4 4 7 2 2 2" xfId="16166" xr:uid="{8D702AE7-72EB-4275-8F18-072096E00C46}"/>
    <cellStyle name="Normal 4 4 7 2 3" xfId="11948" xr:uid="{BE624C47-78E6-4450-A0BE-97BAB8CEB06D}"/>
    <cellStyle name="Normal 4 4 7 3" xfId="5579" xr:uid="{00000000-0005-0000-0000-0000F7150000}"/>
    <cellStyle name="Normal 4 4 7 3 2" xfId="14021" xr:uid="{CDA3B52C-CC63-4478-A625-7449ADD9A244}"/>
    <cellStyle name="Normal 4 4 7 4" xfId="9803" xr:uid="{C04D50A6-6035-4841-B023-10233C8F143A}"/>
    <cellStyle name="Normal 4 4 8" xfId="1684" xr:uid="{00000000-0005-0000-0000-0000F8150000}"/>
    <cellStyle name="Normal 4 4 8 2" xfId="3914" xr:uid="{00000000-0005-0000-0000-0000F9150000}"/>
    <cellStyle name="Normal 4 4 8 2 2" xfId="8137" xr:uid="{00000000-0005-0000-0000-0000FA150000}"/>
    <cellStyle name="Normal 4 4 8 2 2 2" xfId="16579" xr:uid="{17AEA697-735D-484D-A2D6-98AD138B6635}"/>
    <cellStyle name="Normal 4 4 8 2 3" xfId="12361" xr:uid="{00313080-6DE4-483E-BBF3-1981F14F29B9}"/>
    <cellStyle name="Normal 4 4 8 3" xfId="5992" xr:uid="{00000000-0005-0000-0000-0000FB150000}"/>
    <cellStyle name="Normal 4 4 8 3 2" xfId="14434" xr:uid="{B5CFC308-25FA-4825-94B6-2AFB9C87CDB1}"/>
    <cellStyle name="Normal 4 4 8 4" xfId="10216" xr:uid="{DF9A449D-1DB8-4D81-A09D-ADB8561A72E4}"/>
    <cellStyle name="Normal 4 4 9" xfId="2098" xr:uid="{00000000-0005-0000-0000-0000FC150000}"/>
    <cellStyle name="Normal 4 4 9 2" xfId="4327" xr:uid="{00000000-0005-0000-0000-0000FD150000}"/>
    <cellStyle name="Normal 4 4 9 2 2" xfId="8550" xr:uid="{00000000-0005-0000-0000-0000FE150000}"/>
    <cellStyle name="Normal 4 4 9 2 2 2" xfId="16992" xr:uid="{AA3094EF-EDBE-44B3-B5FD-409570E9488B}"/>
    <cellStyle name="Normal 4 4 9 2 3" xfId="12774" xr:uid="{E0057BB8-B8C2-42E0-AD4E-44A6EB6FD085}"/>
    <cellStyle name="Normal 4 4 9 3" xfId="6405" xr:uid="{00000000-0005-0000-0000-0000FF150000}"/>
    <cellStyle name="Normal 4 4 9 3 2" xfId="14847" xr:uid="{B5F1CFBC-9DB9-42C6-BD08-20E87F456611}"/>
    <cellStyle name="Normal 4 4 9 4" xfId="10629" xr:uid="{BEE12064-99A8-4CDF-B769-A39D2B2921BF}"/>
    <cellStyle name="Normal 4 5" xfId="394" xr:uid="{00000000-0005-0000-0000-000000160000}"/>
    <cellStyle name="Normal 4 6" xfId="395" xr:uid="{00000000-0005-0000-0000-000001160000}"/>
    <cellStyle name="Normal 4 6 10" xfId="4769" xr:uid="{00000000-0005-0000-0000-000002160000}"/>
    <cellStyle name="Normal 4 6 10 2" xfId="13211" xr:uid="{3C940EF8-BCD1-4BBB-9C2A-3315E98A52A0}"/>
    <cellStyle name="Normal 4 6 11" xfId="8993" xr:uid="{6BA2F170-6A93-4419-A0A1-51A4A401AE25}"/>
    <cellStyle name="Normal 4 6 2" xfId="396" xr:uid="{00000000-0005-0000-0000-000003160000}"/>
    <cellStyle name="Normal 4 6 2 10" xfId="8994" xr:uid="{84BF0872-4805-447A-A11E-F34F33832447}"/>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D8AA904D-91F6-4FCE-A979-446F782AC843}"/>
    <cellStyle name="Normal 4 6 2 2 2 2 2 3" xfId="11554" xr:uid="{DB312D4E-905C-4D99-A1D4-FED393B041F8}"/>
    <cellStyle name="Normal 4 6 2 2 2 2 3" xfId="5185" xr:uid="{00000000-0005-0000-0000-000009160000}"/>
    <cellStyle name="Normal 4 6 2 2 2 2 3 2" xfId="13627" xr:uid="{45DB661E-B372-4D86-A323-8FFB5D420DB0}"/>
    <cellStyle name="Normal 4 6 2 2 2 2 4" xfId="9409" xr:uid="{3B679085-3BE7-483D-9D81-1B55BCE83127}"/>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663D9AB7-18AF-471C-93D7-75A413A25F21}"/>
    <cellStyle name="Normal 4 6 2 2 2 3 2 3" xfId="11967" xr:uid="{10D01834-63C6-4C30-9650-57AF3AA2E0AB}"/>
    <cellStyle name="Normal 4 6 2 2 2 3 3" xfId="5598" xr:uid="{00000000-0005-0000-0000-00000D160000}"/>
    <cellStyle name="Normal 4 6 2 2 2 3 3 2" xfId="14040" xr:uid="{16B5F5F1-4222-413B-B780-F4AA86359CB7}"/>
    <cellStyle name="Normal 4 6 2 2 2 3 4" xfId="9822" xr:uid="{56E2FF4C-F2C1-4CA0-8D8C-2FB4090DF3FB}"/>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1EB21D97-775A-4EEE-9E07-8E798C88B1E6}"/>
    <cellStyle name="Normal 4 6 2 2 2 4 2 3" xfId="12380" xr:uid="{2D454370-F59A-4F3E-9EE7-37A9D2E02815}"/>
    <cellStyle name="Normal 4 6 2 2 2 4 3" xfId="6011" xr:uid="{00000000-0005-0000-0000-000011160000}"/>
    <cellStyle name="Normal 4 6 2 2 2 4 3 2" xfId="14453" xr:uid="{6105AC2D-F1D2-4E46-93EC-EE12ED038C08}"/>
    <cellStyle name="Normal 4 6 2 2 2 4 4" xfId="10235" xr:uid="{103E32D2-5C9A-4225-A954-F292A9DA5826}"/>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C2894ECC-E656-4CE7-ABE9-BDF287D043D4}"/>
    <cellStyle name="Normal 4 6 2 2 2 5 2 3" xfId="12793" xr:uid="{BF7C3F02-0BC3-40B1-8B16-6BF566417E3B}"/>
    <cellStyle name="Normal 4 6 2 2 2 5 3" xfId="6424" xr:uid="{00000000-0005-0000-0000-000015160000}"/>
    <cellStyle name="Normal 4 6 2 2 2 5 3 2" xfId="14866" xr:uid="{F7E69786-4C74-4831-9729-12D1F2A24B7A}"/>
    <cellStyle name="Normal 4 6 2 2 2 5 4" xfId="10648" xr:uid="{B8EE8531-12A0-4075-9414-3DA8C1D548C0}"/>
    <cellStyle name="Normal 4 6 2 2 2 6" xfId="2553" xr:uid="{00000000-0005-0000-0000-000016160000}"/>
    <cellStyle name="Normal 4 6 2 2 2 6 2" xfId="6837" xr:uid="{00000000-0005-0000-0000-000017160000}"/>
    <cellStyle name="Normal 4 6 2 2 2 6 2 2" xfId="15279" xr:uid="{7AD7C258-0CA6-421B-93DC-8304A02B9DC2}"/>
    <cellStyle name="Normal 4 6 2 2 2 6 3" xfId="11061" xr:uid="{FF2703D3-B8C7-4C13-88F8-73B6C01C327C}"/>
    <cellStyle name="Normal 4 6 2 2 2 7" xfId="4772" xr:uid="{00000000-0005-0000-0000-000018160000}"/>
    <cellStyle name="Normal 4 6 2 2 2 7 2" xfId="13214" xr:uid="{1E69E9E1-EB2D-447C-B23D-B4EEECAA76CD}"/>
    <cellStyle name="Normal 4 6 2 2 2 8" xfId="8996" xr:uid="{73348B12-41AD-430A-A424-198871681B76}"/>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D3B1A3DF-5640-42CD-9222-C72E8C8D29FD}"/>
    <cellStyle name="Normal 4 6 2 2 3 2 3" xfId="11553" xr:uid="{643CEF10-5A10-4ADB-AE45-BAA55A759C57}"/>
    <cellStyle name="Normal 4 6 2 2 3 3" xfId="5184" xr:uid="{00000000-0005-0000-0000-00001C160000}"/>
    <cellStyle name="Normal 4 6 2 2 3 3 2" xfId="13626" xr:uid="{BA159EC7-14D9-4369-848C-0DFA2097B81A}"/>
    <cellStyle name="Normal 4 6 2 2 3 4" xfId="9408" xr:uid="{5DF63C3B-91BA-4003-8CBC-1414DC888C6C}"/>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68D6C462-540F-41A4-AEC8-9B552E41762E}"/>
    <cellStyle name="Normal 4 6 2 2 4 2 3" xfId="11966" xr:uid="{27FD44F9-630D-4251-8A4B-10CB55106FED}"/>
    <cellStyle name="Normal 4 6 2 2 4 3" xfId="5597" xr:uid="{00000000-0005-0000-0000-000020160000}"/>
    <cellStyle name="Normal 4 6 2 2 4 3 2" xfId="14039" xr:uid="{28AF7EBA-2612-4B6F-BEDA-384607D1501A}"/>
    <cellStyle name="Normal 4 6 2 2 4 4" xfId="9821" xr:uid="{7BBA5000-D3D2-41BA-9414-1947B156B8F6}"/>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AF7C439E-E187-499E-A063-729B80DFF818}"/>
    <cellStyle name="Normal 4 6 2 2 5 2 3" xfId="12379" xr:uid="{B15491DC-002B-47CE-9C9A-7BC6E5303844}"/>
    <cellStyle name="Normal 4 6 2 2 5 3" xfId="6010" xr:uid="{00000000-0005-0000-0000-000024160000}"/>
    <cellStyle name="Normal 4 6 2 2 5 3 2" xfId="14452" xr:uid="{5D2B59DA-3DB0-4A18-AEF7-7D80A8D0A27B}"/>
    <cellStyle name="Normal 4 6 2 2 5 4" xfId="10234" xr:uid="{CC5569DC-EB7E-4154-9F87-FDD084D9FA7B}"/>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159149A1-81E7-477B-A5EB-4298FF6B8A7C}"/>
    <cellStyle name="Normal 4 6 2 2 6 2 3" xfId="12792" xr:uid="{DBC92F3A-A8D5-421D-8772-FE156A8994F1}"/>
    <cellStyle name="Normal 4 6 2 2 6 3" xfId="6423" xr:uid="{00000000-0005-0000-0000-000028160000}"/>
    <cellStyle name="Normal 4 6 2 2 6 3 2" xfId="14865" xr:uid="{5E8237E7-1DEF-4BB5-B6B5-44B52E761A7F}"/>
    <cellStyle name="Normal 4 6 2 2 6 4" xfId="10647" xr:uid="{5B27CDBA-3BB8-4D20-9447-997CD4418ED0}"/>
    <cellStyle name="Normal 4 6 2 2 7" xfId="2552" xr:uid="{00000000-0005-0000-0000-000029160000}"/>
    <cellStyle name="Normal 4 6 2 2 7 2" xfId="6836" xr:uid="{00000000-0005-0000-0000-00002A160000}"/>
    <cellStyle name="Normal 4 6 2 2 7 2 2" xfId="15278" xr:uid="{0586B6A5-DCFA-45C5-B7B6-C3D293B5D9EE}"/>
    <cellStyle name="Normal 4 6 2 2 7 3" xfId="11060" xr:uid="{CFAA07F3-4D15-425A-B4A1-C0EB42770087}"/>
    <cellStyle name="Normal 4 6 2 2 8" xfId="4771" xr:uid="{00000000-0005-0000-0000-00002B160000}"/>
    <cellStyle name="Normal 4 6 2 2 8 2" xfId="13213" xr:uid="{30F4078F-B3A1-46BC-8648-4635795537F5}"/>
    <cellStyle name="Normal 4 6 2 2 9" xfId="8995" xr:uid="{01BFD1B4-C690-42CA-B275-FC67E65FD32B}"/>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95FFDF42-00CC-4DEA-B7F2-EA9136F242F1}"/>
    <cellStyle name="Normal 4 6 2 3 2 2 3" xfId="11555" xr:uid="{53ED99A5-7557-46C4-9364-A74EC3108F01}"/>
    <cellStyle name="Normal 4 6 2 3 2 3" xfId="5186" xr:uid="{00000000-0005-0000-0000-000030160000}"/>
    <cellStyle name="Normal 4 6 2 3 2 3 2" xfId="13628" xr:uid="{933AF70D-C01E-4C22-A4B6-3984A6274C0A}"/>
    <cellStyle name="Normal 4 6 2 3 2 4" xfId="9410" xr:uid="{E81A07D6-490F-4215-9E37-68F78DC5BF84}"/>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8EAC7344-2E1E-4302-9D7F-EDC6D897E64C}"/>
    <cellStyle name="Normal 4 6 2 3 3 2 3" xfId="11968" xr:uid="{F25A04CE-0A17-46E4-8297-0724EC6C89A4}"/>
    <cellStyle name="Normal 4 6 2 3 3 3" xfId="5599" xr:uid="{00000000-0005-0000-0000-000034160000}"/>
    <cellStyle name="Normal 4 6 2 3 3 3 2" xfId="14041" xr:uid="{6C2DD2EA-0656-4269-BEC8-1B9862245F71}"/>
    <cellStyle name="Normal 4 6 2 3 3 4" xfId="9823" xr:uid="{58BCB948-BA1D-4B46-93CD-4BEC8B2AAB46}"/>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F25D6464-79CE-48B4-BD09-433B11EF1429}"/>
    <cellStyle name="Normal 4 6 2 3 4 2 3" xfId="12381" xr:uid="{90ED4078-A554-4387-8B8E-519097301846}"/>
    <cellStyle name="Normal 4 6 2 3 4 3" xfId="6012" xr:uid="{00000000-0005-0000-0000-000038160000}"/>
    <cellStyle name="Normal 4 6 2 3 4 3 2" xfId="14454" xr:uid="{9F0AE3D4-57ED-4213-818C-C063CBAAA073}"/>
    <cellStyle name="Normal 4 6 2 3 4 4" xfId="10236" xr:uid="{C1376EC7-B28D-403A-BE7A-D80D4EF94EC5}"/>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5681760C-060B-4C6B-9CFD-74AA2D6B8B42}"/>
    <cellStyle name="Normal 4 6 2 3 5 2 3" xfId="12794" xr:uid="{611C0F1E-3C81-402A-A1F8-E570B9701AA6}"/>
    <cellStyle name="Normal 4 6 2 3 5 3" xfId="6425" xr:uid="{00000000-0005-0000-0000-00003C160000}"/>
    <cellStyle name="Normal 4 6 2 3 5 3 2" xfId="14867" xr:uid="{A32870C6-9533-4409-BF5C-92581835A05B}"/>
    <cellStyle name="Normal 4 6 2 3 5 4" xfId="10649" xr:uid="{16599594-78D7-4F78-95D6-6E9FFAB81C91}"/>
    <cellStyle name="Normal 4 6 2 3 6" xfId="2554" xr:uid="{00000000-0005-0000-0000-00003D160000}"/>
    <cellStyle name="Normal 4 6 2 3 6 2" xfId="6838" xr:uid="{00000000-0005-0000-0000-00003E160000}"/>
    <cellStyle name="Normal 4 6 2 3 6 2 2" xfId="15280" xr:uid="{96E62FD1-514A-4109-A50A-84D22688862F}"/>
    <cellStyle name="Normal 4 6 2 3 6 3" xfId="11062" xr:uid="{5F9CE351-DCB1-4FDC-AB08-6C00FE5B1AB4}"/>
    <cellStyle name="Normal 4 6 2 3 7" xfId="4773" xr:uid="{00000000-0005-0000-0000-00003F160000}"/>
    <cellStyle name="Normal 4 6 2 3 7 2" xfId="13215" xr:uid="{63ED0B1C-DC28-44E9-AD32-0ED05EAA6C26}"/>
    <cellStyle name="Normal 4 6 2 3 8" xfId="8997" xr:uid="{4781569A-2ACF-42D5-9DF0-ACB2FE9E851B}"/>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2F097E0C-FC8C-4533-AAE7-E0DDB8F82BBE}"/>
    <cellStyle name="Normal 4 6 2 4 2 3" xfId="11552" xr:uid="{711FDD89-BC8F-4B8A-90AC-73AEC06A8E6B}"/>
    <cellStyle name="Normal 4 6 2 4 3" xfId="5183" xr:uid="{00000000-0005-0000-0000-000043160000}"/>
    <cellStyle name="Normal 4 6 2 4 3 2" xfId="13625" xr:uid="{DB75F7D1-A73F-45F4-B0B0-3BA224861AE6}"/>
    <cellStyle name="Normal 4 6 2 4 4" xfId="9407" xr:uid="{9F72D6B4-F496-41C6-8015-ACB34F2904F1}"/>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7DFD6CA0-8629-469F-BBFF-0D6EFD11571A}"/>
    <cellStyle name="Normal 4 6 2 5 2 3" xfId="11965" xr:uid="{04306B3E-2F2A-41B3-AB24-81DE90DC9FA1}"/>
    <cellStyle name="Normal 4 6 2 5 3" xfId="5596" xr:uid="{00000000-0005-0000-0000-000047160000}"/>
    <cellStyle name="Normal 4 6 2 5 3 2" xfId="14038" xr:uid="{E03F9FF5-487C-4C15-BA23-BBA85EDFDD99}"/>
    <cellStyle name="Normal 4 6 2 5 4" xfId="9820" xr:uid="{02BB6C2C-BABC-4BD9-B4E4-C13501AA8132}"/>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285E0B90-1A59-4F8E-8BD5-F454279BD9BF}"/>
    <cellStyle name="Normal 4 6 2 6 2 3" xfId="12378" xr:uid="{9A8E4284-0DF3-4A7C-8C98-A5B284FC2AEC}"/>
    <cellStyle name="Normal 4 6 2 6 3" xfId="6009" xr:uid="{00000000-0005-0000-0000-00004B160000}"/>
    <cellStyle name="Normal 4 6 2 6 3 2" xfId="14451" xr:uid="{B2784FE0-4A7E-4F4D-A556-E74C74EF1BF0}"/>
    <cellStyle name="Normal 4 6 2 6 4" xfId="10233" xr:uid="{DFCD94A7-AAB0-4997-B0E8-3D6D3E9B5B68}"/>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FAF171E6-F744-4009-826F-D786C42C7A58}"/>
    <cellStyle name="Normal 4 6 2 7 2 3" xfId="12791" xr:uid="{FFB0F493-8B01-40C8-A704-0CBD66162537}"/>
    <cellStyle name="Normal 4 6 2 7 3" xfId="6422" xr:uid="{00000000-0005-0000-0000-00004F160000}"/>
    <cellStyle name="Normal 4 6 2 7 3 2" xfId="14864" xr:uid="{E3D3B83D-7239-469C-9826-B98D49177189}"/>
    <cellStyle name="Normal 4 6 2 7 4" xfId="10646" xr:uid="{5AAC2AC4-CD86-4FFF-9B95-06900161C1A8}"/>
    <cellStyle name="Normal 4 6 2 8" xfId="2551" xr:uid="{00000000-0005-0000-0000-000050160000}"/>
    <cellStyle name="Normal 4 6 2 8 2" xfId="6835" xr:uid="{00000000-0005-0000-0000-000051160000}"/>
    <cellStyle name="Normal 4 6 2 8 2 2" xfId="15277" xr:uid="{0A7B9739-91C6-436A-9D74-87B0B90846F8}"/>
    <cellStyle name="Normal 4 6 2 8 3" xfId="11059" xr:uid="{265A2384-9D9F-4DAE-8F47-66682CF9746E}"/>
    <cellStyle name="Normal 4 6 2 9" xfId="4770" xr:uid="{00000000-0005-0000-0000-000052160000}"/>
    <cellStyle name="Normal 4 6 2 9 2" xfId="13212" xr:uid="{9A4E3A7A-A3C8-4578-B82D-467F32A1A849}"/>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A2062719-9B5A-4295-AB0F-749C34F64154}"/>
    <cellStyle name="Normal 4 6 3 2 2 2 3" xfId="11557" xr:uid="{D7D423F9-6FC9-4706-B557-350647BE6355}"/>
    <cellStyle name="Normal 4 6 3 2 2 3" xfId="5188" xr:uid="{00000000-0005-0000-0000-000058160000}"/>
    <cellStyle name="Normal 4 6 3 2 2 3 2" xfId="13630" xr:uid="{A6AAC350-1AE5-4209-A714-81A6096C86CE}"/>
    <cellStyle name="Normal 4 6 3 2 2 4" xfId="9412" xr:uid="{06E9D126-97CC-45F6-A47A-06B5403D14A6}"/>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2D5E9D8C-7AB7-47A8-830C-D4C64D62069E}"/>
    <cellStyle name="Normal 4 6 3 2 3 2 3" xfId="11970" xr:uid="{2320A48B-7556-4FF9-A9DA-B87BCE518632}"/>
    <cellStyle name="Normal 4 6 3 2 3 3" xfId="5601" xr:uid="{00000000-0005-0000-0000-00005C160000}"/>
    <cellStyle name="Normal 4 6 3 2 3 3 2" xfId="14043" xr:uid="{DF175A13-7684-4305-8D26-FF0A411B8AA2}"/>
    <cellStyle name="Normal 4 6 3 2 3 4" xfId="9825" xr:uid="{9FE3F9B3-CCD7-416B-A9AF-2BFC1B8F709D}"/>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D96925AC-1874-4F48-BD99-AF8442D80D8E}"/>
    <cellStyle name="Normal 4 6 3 2 4 2 3" xfId="12383" xr:uid="{ABC6257B-9F72-4B89-AE2E-2BF70E0A95D2}"/>
    <cellStyle name="Normal 4 6 3 2 4 3" xfId="6014" xr:uid="{00000000-0005-0000-0000-000060160000}"/>
    <cellStyle name="Normal 4 6 3 2 4 3 2" xfId="14456" xr:uid="{81A20948-61B7-438C-84A0-24453A30497B}"/>
    <cellStyle name="Normal 4 6 3 2 4 4" xfId="10238" xr:uid="{6683D19B-4ACD-497F-A9DF-060EF5F2B4C4}"/>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C47198B9-0402-4DEE-9E56-83492EB52D14}"/>
    <cellStyle name="Normal 4 6 3 2 5 2 3" xfId="12796" xr:uid="{84568FDA-30C1-4495-985F-55C2C4FC0A94}"/>
    <cellStyle name="Normal 4 6 3 2 5 3" xfId="6427" xr:uid="{00000000-0005-0000-0000-000064160000}"/>
    <cellStyle name="Normal 4 6 3 2 5 3 2" xfId="14869" xr:uid="{B757F871-ADAF-4B9A-9DDB-0B207F1E8A47}"/>
    <cellStyle name="Normal 4 6 3 2 5 4" xfId="10651" xr:uid="{5753D897-82B0-4BFC-98A7-CB1C0D0ED97C}"/>
    <cellStyle name="Normal 4 6 3 2 6" xfId="2556" xr:uid="{00000000-0005-0000-0000-000065160000}"/>
    <cellStyle name="Normal 4 6 3 2 6 2" xfId="6840" xr:uid="{00000000-0005-0000-0000-000066160000}"/>
    <cellStyle name="Normal 4 6 3 2 6 2 2" xfId="15282" xr:uid="{61ABB3D0-46AE-4A6F-830F-01C1B9F8E374}"/>
    <cellStyle name="Normal 4 6 3 2 6 3" xfId="11064" xr:uid="{AE784C64-D118-4CD0-86BF-8F3F1530504F}"/>
    <cellStyle name="Normal 4 6 3 2 7" xfId="4775" xr:uid="{00000000-0005-0000-0000-000067160000}"/>
    <cellStyle name="Normal 4 6 3 2 7 2" xfId="13217" xr:uid="{A9F19A90-3B3E-46D3-B081-F90EEF2CC69E}"/>
    <cellStyle name="Normal 4 6 3 2 8" xfId="8999" xr:uid="{BB9E7E31-362A-41EC-9334-4387C50383F5}"/>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55DA3183-B938-4148-A935-7B2C5B5E0ADB}"/>
    <cellStyle name="Normal 4 6 3 3 2 3" xfId="11556" xr:uid="{5043F14F-12B1-48CA-B387-84B64FF88630}"/>
    <cellStyle name="Normal 4 6 3 3 3" xfId="5187" xr:uid="{00000000-0005-0000-0000-00006B160000}"/>
    <cellStyle name="Normal 4 6 3 3 3 2" xfId="13629" xr:uid="{23C012C9-2C91-45B2-AA4F-432F317E87DF}"/>
    <cellStyle name="Normal 4 6 3 3 4" xfId="9411" xr:uid="{BD31FA1B-CA6B-43CB-A34D-7B03CC4C6E8B}"/>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90E68892-663A-4BCF-B004-21B4E66281E0}"/>
    <cellStyle name="Normal 4 6 3 4 2 3" xfId="11969" xr:uid="{AFE3DE90-7B52-42F8-B979-FFFF81FE330B}"/>
    <cellStyle name="Normal 4 6 3 4 3" xfId="5600" xr:uid="{00000000-0005-0000-0000-00006F160000}"/>
    <cellStyle name="Normal 4 6 3 4 3 2" xfId="14042" xr:uid="{A7B50E04-92CD-4D0E-9834-22CED3BFD828}"/>
    <cellStyle name="Normal 4 6 3 4 4" xfId="9824" xr:uid="{FF8417D6-DF24-40C7-A113-0AA893DF43B1}"/>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64382F3F-B26C-40C2-A2A0-19E3051A78C0}"/>
    <cellStyle name="Normal 4 6 3 5 2 3" xfId="12382" xr:uid="{71657F68-ADC1-4B4E-9A15-C2C2D4DC5666}"/>
    <cellStyle name="Normal 4 6 3 5 3" xfId="6013" xr:uid="{00000000-0005-0000-0000-000073160000}"/>
    <cellStyle name="Normal 4 6 3 5 3 2" xfId="14455" xr:uid="{9B69F633-2D75-4DD8-A750-DC18D7E6C40A}"/>
    <cellStyle name="Normal 4 6 3 5 4" xfId="10237" xr:uid="{1BAF8BF6-65F0-486B-8159-93FC031E78DC}"/>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787541C1-6E90-4D9A-9B30-51348EE3AF0D}"/>
    <cellStyle name="Normal 4 6 3 6 2 3" xfId="12795" xr:uid="{D2844619-DEF6-482E-A825-742E90C14EB7}"/>
    <cellStyle name="Normal 4 6 3 6 3" xfId="6426" xr:uid="{00000000-0005-0000-0000-000077160000}"/>
    <cellStyle name="Normal 4 6 3 6 3 2" xfId="14868" xr:uid="{8F06266E-AB96-44D7-989F-29F3460FDDEC}"/>
    <cellStyle name="Normal 4 6 3 6 4" xfId="10650" xr:uid="{81181816-249B-4B70-ACDD-31A3B852EE58}"/>
    <cellStyle name="Normal 4 6 3 7" xfId="2555" xr:uid="{00000000-0005-0000-0000-000078160000}"/>
    <cellStyle name="Normal 4 6 3 7 2" xfId="6839" xr:uid="{00000000-0005-0000-0000-000079160000}"/>
    <cellStyle name="Normal 4 6 3 7 2 2" xfId="15281" xr:uid="{482BD772-3CE0-451B-8242-B1783A824DE6}"/>
    <cellStyle name="Normal 4 6 3 7 3" xfId="11063" xr:uid="{6804928D-8415-4CCB-BD4D-E91891F2B030}"/>
    <cellStyle name="Normal 4 6 3 8" xfId="4774" xr:uid="{00000000-0005-0000-0000-00007A160000}"/>
    <cellStyle name="Normal 4 6 3 8 2" xfId="13216" xr:uid="{9311BDB8-6DAE-49C8-B77D-94224F308D5A}"/>
    <cellStyle name="Normal 4 6 3 9" xfId="8998" xr:uid="{434FD41D-09E2-4014-A012-44FAE9CDCB35}"/>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844D223E-E804-4843-952E-DFCA2F2D3410}"/>
    <cellStyle name="Normal 4 6 4 2 2 3" xfId="11558" xr:uid="{BD982294-1424-405F-B5CC-717A6BAC2358}"/>
    <cellStyle name="Normal 4 6 4 2 3" xfId="5189" xr:uid="{00000000-0005-0000-0000-00007F160000}"/>
    <cellStyle name="Normal 4 6 4 2 3 2" xfId="13631" xr:uid="{F4EA3DD7-6DB4-48C6-AE51-F17DAA8ACE83}"/>
    <cellStyle name="Normal 4 6 4 2 4" xfId="9413" xr:uid="{BEFF741B-856A-43A6-B0DA-79EEB0BE7E33}"/>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9BCAB267-1F05-4E67-94BB-6F6933F25594}"/>
    <cellStyle name="Normal 4 6 4 3 2 3" xfId="11971" xr:uid="{3163FAFF-7127-4515-BB48-66FCB86A2F1F}"/>
    <cellStyle name="Normal 4 6 4 3 3" xfId="5602" xr:uid="{00000000-0005-0000-0000-000083160000}"/>
    <cellStyle name="Normal 4 6 4 3 3 2" xfId="14044" xr:uid="{63EFAC43-9D0C-4180-9496-11FADC690864}"/>
    <cellStyle name="Normal 4 6 4 3 4" xfId="9826" xr:uid="{0BC7DD06-B15A-46E2-B9DC-7B9F205BB38B}"/>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2F78C4C9-4DE8-4377-8148-87654C82B043}"/>
    <cellStyle name="Normal 4 6 4 4 2 3" xfId="12384" xr:uid="{64477B2C-2CD0-4663-88B3-9AEA31A2BEC6}"/>
    <cellStyle name="Normal 4 6 4 4 3" xfId="6015" xr:uid="{00000000-0005-0000-0000-000087160000}"/>
    <cellStyle name="Normal 4 6 4 4 3 2" xfId="14457" xr:uid="{BE62D26B-3DFD-4E00-9CC2-C1F8E1DFFFFE}"/>
    <cellStyle name="Normal 4 6 4 4 4" xfId="10239" xr:uid="{63A4BE86-770C-4E33-9DED-411B0545A344}"/>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96737B9C-C65D-4056-A190-939FA2481969}"/>
    <cellStyle name="Normal 4 6 4 5 2 3" xfId="12797" xr:uid="{AE3FA23E-0412-4A97-8C6D-7EF304B5240C}"/>
    <cellStyle name="Normal 4 6 4 5 3" xfId="6428" xr:uid="{00000000-0005-0000-0000-00008B160000}"/>
    <cellStyle name="Normal 4 6 4 5 3 2" xfId="14870" xr:uid="{FB7A70C5-28BE-404D-8245-7DC47F567EDB}"/>
    <cellStyle name="Normal 4 6 4 5 4" xfId="10652" xr:uid="{0968CA0C-81D2-496D-848C-0D271E92680A}"/>
    <cellStyle name="Normal 4 6 4 6" xfId="2557" xr:uid="{00000000-0005-0000-0000-00008C160000}"/>
    <cellStyle name="Normal 4 6 4 6 2" xfId="6841" xr:uid="{00000000-0005-0000-0000-00008D160000}"/>
    <cellStyle name="Normal 4 6 4 6 2 2" xfId="15283" xr:uid="{901EDEDC-4AA5-4210-B4E6-A3923A93E436}"/>
    <cellStyle name="Normal 4 6 4 6 3" xfId="11065" xr:uid="{ECBCF01F-570D-4369-84BE-8F2FAEDBC31E}"/>
    <cellStyle name="Normal 4 6 4 7" xfId="4776" xr:uid="{00000000-0005-0000-0000-00008E160000}"/>
    <cellStyle name="Normal 4 6 4 7 2" xfId="13218" xr:uid="{14010E45-F94F-4E8D-82E3-7D28E7A3AD82}"/>
    <cellStyle name="Normal 4 6 4 8" xfId="9000" xr:uid="{3FA6A72E-50E4-47B3-847A-41B8D4E9576E}"/>
    <cellStyle name="Normal 4 6 5" xfId="869" xr:uid="{00000000-0005-0000-0000-00008F160000}"/>
    <cellStyle name="Normal 4 6 5 2" xfId="3104" xr:uid="{00000000-0005-0000-0000-000090160000}"/>
    <cellStyle name="Normal 4 6 5 2 2" xfId="7327" xr:uid="{00000000-0005-0000-0000-000091160000}"/>
    <cellStyle name="Normal 4 6 5 2 2 2" xfId="15769" xr:uid="{5EBBEDAE-E051-4539-8CAF-C07812D59ECE}"/>
    <cellStyle name="Normal 4 6 5 2 3" xfId="11551" xr:uid="{873C078C-CCAC-46F1-97D1-392A50A55ED7}"/>
    <cellStyle name="Normal 4 6 5 3" xfId="5182" xr:uid="{00000000-0005-0000-0000-000092160000}"/>
    <cellStyle name="Normal 4 6 5 3 2" xfId="13624" xr:uid="{8F64CB43-653B-4F7C-8F2C-E27E12FDED1F}"/>
    <cellStyle name="Normal 4 6 5 4" xfId="9406" xr:uid="{FC15AA53-CB0F-4598-94A8-194BEEF01D31}"/>
    <cellStyle name="Normal 4 6 6" xfId="1287" xr:uid="{00000000-0005-0000-0000-000093160000}"/>
    <cellStyle name="Normal 4 6 6 2" xfId="3517" xr:uid="{00000000-0005-0000-0000-000094160000}"/>
    <cellStyle name="Normal 4 6 6 2 2" xfId="7740" xr:uid="{00000000-0005-0000-0000-000095160000}"/>
    <cellStyle name="Normal 4 6 6 2 2 2" xfId="16182" xr:uid="{035DACE5-C63B-4A44-A2F1-14279B6A5E73}"/>
    <cellStyle name="Normal 4 6 6 2 3" xfId="11964" xr:uid="{AADDC50A-6ADA-42F3-A2D3-E5CFF34D3408}"/>
    <cellStyle name="Normal 4 6 6 3" xfId="5595" xr:uid="{00000000-0005-0000-0000-000096160000}"/>
    <cellStyle name="Normal 4 6 6 3 2" xfId="14037" xr:uid="{9639D791-3640-40E6-9AA3-EDDCC0F48D65}"/>
    <cellStyle name="Normal 4 6 6 4" xfId="9819" xr:uid="{0383A465-ABA5-4E40-9536-778757E02264}"/>
    <cellStyle name="Normal 4 6 7" xfId="1700" xr:uid="{00000000-0005-0000-0000-000097160000}"/>
    <cellStyle name="Normal 4 6 7 2" xfId="3930" xr:uid="{00000000-0005-0000-0000-000098160000}"/>
    <cellStyle name="Normal 4 6 7 2 2" xfId="8153" xr:uid="{00000000-0005-0000-0000-000099160000}"/>
    <cellStyle name="Normal 4 6 7 2 2 2" xfId="16595" xr:uid="{593F596D-3A3A-42CF-9A60-E9FAA717095B}"/>
    <cellStyle name="Normal 4 6 7 2 3" xfId="12377" xr:uid="{51212548-1C68-4337-BC7B-BEAE5E8AFE91}"/>
    <cellStyle name="Normal 4 6 7 3" xfId="6008" xr:uid="{00000000-0005-0000-0000-00009A160000}"/>
    <cellStyle name="Normal 4 6 7 3 2" xfId="14450" xr:uid="{D3314366-2279-4632-BDD6-9B42DDD905BE}"/>
    <cellStyle name="Normal 4 6 7 4" xfId="10232" xr:uid="{2FD69696-1EE1-43A9-8064-9BA1F2ABA5FC}"/>
    <cellStyle name="Normal 4 6 8" xfId="2114" xr:uid="{00000000-0005-0000-0000-00009B160000}"/>
    <cellStyle name="Normal 4 6 8 2" xfId="4343" xr:uid="{00000000-0005-0000-0000-00009C160000}"/>
    <cellStyle name="Normal 4 6 8 2 2" xfId="8566" xr:uid="{00000000-0005-0000-0000-00009D160000}"/>
    <cellStyle name="Normal 4 6 8 2 2 2" xfId="17008" xr:uid="{512B48A6-A3A0-41A0-9BEF-0D0C6A24EA17}"/>
    <cellStyle name="Normal 4 6 8 2 3" xfId="12790" xr:uid="{180765D3-B3CE-442D-973F-A8ADA627010C}"/>
    <cellStyle name="Normal 4 6 8 3" xfId="6421" xr:uid="{00000000-0005-0000-0000-00009E160000}"/>
    <cellStyle name="Normal 4 6 8 3 2" xfId="14863" xr:uid="{0F4E615C-B873-41AB-B2C5-DCAF4833CA20}"/>
    <cellStyle name="Normal 4 6 8 4" xfId="10645" xr:uid="{00E40564-9744-46D1-8599-6DC7EDE1C9BF}"/>
    <cellStyle name="Normal 4 6 9" xfId="2550" xr:uid="{00000000-0005-0000-0000-00009F160000}"/>
    <cellStyle name="Normal 4 6 9 2" xfId="6834" xr:uid="{00000000-0005-0000-0000-0000A0160000}"/>
    <cellStyle name="Normal 4 6 9 2 2" xfId="15276" xr:uid="{D4FC91FD-9135-437A-AE3D-295AFBDE8B2E}"/>
    <cellStyle name="Normal 4 6 9 3" xfId="11058" xr:uid="{47200FD4-F123-49D0-BD8D-012FFE97AE6E}"/>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ADC99DB3-C89F-4905-82BD-D4D817108655}"/>
    <cellStyle name="Normal 4 7 2 2 2 3" xfId="11560" xr:uid="{276FAB05-B7C7-4DF5-9766-DA3454C8D648}"/>
    <cellStyle name="Normal 4 7 2 2 3" xfId="5191" xr:uid="{00000000-0005-0000-0000-0000A6160000}"/>
    <cellStyle name="Normal 4 7 2 2 3 2" xfId="13633" xr:uid="{670862BB-706B-4DF9-B528-448D0B997B6F}"/>
    <cellStyle name="Normal 4 7 2 2 4" xfId="9415" xr:uid="{FB804663-1A9D-498A-86BD-FC42F1D8F8ED}"/>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CC510D63-E298-4E41-A5E7-E9ACE01ED963}"/>
    <cellStyle name="Normal 4 7 2 3 2 3" xfId="11973" xr:uid="{EAE6738F-D317-48C4-88CD-43E6D81C12F5}"/>
    <cellStyle name="Normal 4 7 2 3 3" xfId="5604" xr:uid="{00000000-0005-0000-0000-0000AA160000}"/>
    <cellStyle name="Normal 4 7 2 3 3 2" xfId="14046" xr:uid="{0B9D623F-93E6-4C31-9628-A1C83E89AEC2}"/>
    <cellStyle name="Normal 4 7 2 3 4" xfId="9828" xr:uid="{F3D9A70B-D2F9-48B6-B125-CDCE2A567BB1}"/>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541EB4B5-71F3-4A16-9977-30AECBBB73DB}"/>
    <cellStyle name="Normal 4 7 2 4 2 3" xfId="12386" xr:uid="{AE841506-0EC7-48B5-952E-864B84B3B329}"/>
    <cellStyle name="Normal 4 7 2 4 3" xfId="6017" xr:uid="{00000000-0005-0000-0000-0000AE160000}"/>
    <cellStyle name="Normal 4 7 2 4 3 2" xfId="14459" xr:uid="{E28FE21D-1147-42E7-9472-045982607D73}"/>
    <cellStyle name="Normal 4 7 2 4 4" xfId="10241" xr:uid="{9D4C7F9E-1049-4944-B8E5-3895AC9E9EB7}"/>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379D253B-5ADB-438E-91D1-479B74F384A9}"/>
    <cellStyle name="Normal 4 7 2 5 2 3" xfId="12799" xr:uid="{05CA72E8-F9EE-4F36-8FB3-F0A8F4293A7F}"/>
    <cellStyle name="Normal 4 7 2 5 3" xfId="6430" xr:uid="{00000000-0005-0000-0000-0000B2160000}"/>
    <cellStyle name="Normal 4 7 2 5 3 2" xfId="14872" xr:uid="{09E5A096-CF13-4AB8-AF64-2665F0BB8C03}"/>
    <cellStyle name="Normal 4 7 2 5 4" xfId="10654" xr:uid="{B9F2F2E7-2441-41B1-AE2F-E2210CB336DE}"/>
    <cellStyle name="Normal 4 7 2 6" xfId="2559" xr:uid="{00000000-0005-0000-0000-0000B3160000}"/>
    <cellStyle name="Normal 4 7 2 6 2" xfId="6843" xr:uid="{00000000-0005-0000-0000-0000B4160000}"/>
    <cellStyle name="Normal 4 7 2 6 2 2" xfId="15285" xr:uid="{8A85305C-215F-470B-A04E-A0E325110DED}"/>
    <cellStyle name="Normal 4 7 2 6 3" xfId="11067" xr:uid="{B4C7FBF9-7842-4A73-BD06-B01A2ECD6D59}"/>
    <cellStyle name="Normal 4 7 2 7" xfId="4778" xr:uid="{00000000-0005-0000-0000-0000B5160000}"/>
    <cellStyle name="Normal 4 7 2 7 2" xfId="13220" xr:uid="{06BB6599-C7BE-4E31-AE36-5A9401303809}"/>
    <cellStyle name="Normal 4 7 2 8" xfId="9002" xr:uid="{33A9E634-EE50-48F8-B9B8-1D9D1DE3C969}"/>
    <cellStyle name="Normal 4 7 3" xfId="877" xr:uid="{00000000-0005-0000-0000-0000B6160000}"/>
    <cellStyle name="Normal 4 7 3 2" xfId="3112" xr:uid="{00000000-0005-0000-0000-0000B7160000}"/>
    <cellStyle name="Normal 4 7 3 2 2" xfId="7335" xr:uid="{00000000-0005-0000-0000-0000B8160000}"/>
    <cellStyle name="Normal 4 7 3 2 2 2" xfId="15777" xr:uid="{26A7961F-31BD-4A80-B5F8-DB51B37CE467}"/>
    <cellStyle name="Normal 4 7 3 2 3" xfId="11559" xr:uid="{A365FC07-3102-4951-9614-8A3A66135C5A}"/>
    <cellStyle name="Normal 4 7 3 3" xfId="5190" xr:uid="{00000000-0005-0000-0000-0000B9160000}"/>
    <cellStyle name="Normal 4 7 3 3 2" xfId="13632" xr:uid="{CC2B325B-E271-42EF-8ADB-DD45F677483B}"/>
    <cellStyle name="Normal 4 7 3 4" xfId="9414" xr:uid="{936817CA-C437-47DE-8E92-DB217933E571}"/>
    <cellStyle name="Normal 4 7 4" xfId="1295" xr:uid="{00000000-0005-0000-0000-0000BA160000}"/>
    <cellStyle name="Normal 4 7 4 2" xfId="3525" xr:uid="{00000000-0005-0000-0000-0000BB160000}"/>
    <cellStyle name="Normal 4 7 4 2 2" xfId="7748" xr:uid="{00000000-0005-0000-0000-0000BC160000}"/>
    <cellStyle name="Normal 4 7 4 2 2 2" xfId="16190" xr:uid="{3AADC761-D5BE-4E81-B00E-57A8A1A07B8D}"/>
    <cellStyle name="Normal 4 7 4 2 3" xfId="11972" xr:uid="{FA7215E8-9D03-4422-89DA-30F36BB02A2F}"/>
    <cellStyle name="Normal 4 7 4 3" xfId="5603" xr:uid="{00000000-0005-0000-0000-0000BD160000}"/>
    <cellStyle name="Normal 4 7 4 3 2" xfId="14045" xr:uid="{95905223-24AB-4EDA-B3B3-BF1FB20208E4}"/>
    <cellStyle name="Normal 4 7 4 4" xfId="9827" xr:uid="{A14A0409-AEBE-4422-B6A6-1FF1C3EF7D79}"/>
    <cellStyle name="Normal 4 7 5" xfId="1708" xr:uid="{00000000-0005-0000-0000-0000BE160000}"/>
    <cellStyle name="Normal 4 7 5 2" xfId="3938" xr:uid="{00000000-0005-0000-0000-0000BF160000}"/>
    <cellStyle name="Normal 4 7 5 2 2" xfId="8161" xr:uid="{00000000-0005-0000-0000-0000C0160000}"/>
    <cellStyle name="Normal 4 7 5 2 2 2" xfId="16603" xr:uid="{2B4B74D9-A5F5-4983-ADA0-1B72F35B126B}"/>
    <cellStyle name="Normal 4 7 5 2 3" xfId="12385" xr:uid="{C2A96855-A2CB-4939-8C9C-DD63B03D703B}"/>
    <cellStyle name="Normal 4 7 5 3" xfId="6016" xr:uid="{00000000-0005-0000-0000-0000C1160000}"/>
    <cellStyle name="Normal 4 7 5 3 2" xfId="14458" xr:uid="{49112F66-4265-4BB3-BBD2-424EECE40484}"/>
    <cellStyle name="Normal 4 7 5 4" xfId="10240" xr:uid="{0EBEEF2B-0FC5-4542-AD8E-F8B74FF24673}"/>
    <cellStyle name="Normal 4 7 6" xfId="2122" xr:uid="{00000000-0005-0000-0000-0000C2160000}"/>
    <cellStyle name="Normal 4 7 6 2" xfId="4351" xr:uid="{00000000-0005-0000-0000-0000C3160000}"/>
    <cellStyle name="Normal 4 7 6 2 2" xfId="8574" xr:uid="{00000000-0005-0000-0000-0000C4160000}"/>
    <cellStyle name="Normal 4 7 6 2 2 2" xfId="17016" xr:uid="{51CF70D9-5409-4D82-8FAF-12185C5BDFCA}"/>
    <cellStyle name="Normal 4 7 6 2 3" xfId="12798" xr:uid="{92AECB7B-21ED-4F33-BA8B-C0A7DEC5737D}"/>
    <cellStyle name="Normal 4 7 6 3" xfId="6429" xr:uid="{00000000-0005-0000-0000-0000C5160000}"/>
    <cellStyle name="Normal 4 7 6 3 2" xfId="14871" xr:uid="{19F70EA7-9FB5-42CC-895B-5D335A3E2C6C}"/>
    <cellStyle name="Normal 4 7 6 4" xfId="10653" xr:uid="{8116936D-63B9-48D2-9647-C862BD04AA26}"/>
    <cellStyle name="Normal 4 7 7" xfId="2558" xr:uid="{00000000-0005-0000-0000-0000C6160000}"/>
    <cellStyle name="Normal 4 7 7 2" xfId="6842" xr:uid="{00000000-0005-0000-0000-0000C7160000}"/>
    <cellStyle name="Normal 4 7 7 2 2" xfId="15284" xr:uid="{963B48C0-54DC-422C-AA8D-772FD8EB0C4F}"/>
    <cellStyle name="Normal 4 7 7 3" xfId="11066" xr:uid="{AF4905F2-1AF6-4825-8153-33D1AA59D6C4}"/>
    <cellStyle name="Normal 4 7 8" xfId="4777" xr:uid="{00000000-0005-0000-0000-0000C8160000}"/>
    <cellStyle name="Normal 4 7 8 2" xfId="13219" xr:uid="{FA6A0F7A-45E8-4721-9B24-8F63E14B7DA5}"/>
    <cellStyle name="Normal 4 7 9" xfId="9001" xr:uid="{B7254DDF-7692-47FB-A996-866C9E1FE9AC}"/>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64A3CC8D-F88C-4D9D-A79D-91454669E9C3}"/>
    <cellStyle name="Normal 4 8 2 2 3" xfId="11561" xr:uid="{AEB64E3B-6257-4D76-AAF6-7B6D3304184A}"/>
    <cellStyle name="Normal 4 8 2 3" xfId="5192" xr:uid="{00000000-0005-0000-0000-0000CD160000}"/>
    <cellStyle name="Normal 4 8 2 3 2" xfId="13634" xr:uid="{9324E59D-9D55-4A41-9FE3-92A9A95A9281}"/>
    <cellStyle name="Normal 4 8 2 4" xfId="9416" xr:uid="{E01A9395-9187-44A6-9FA9-9A688FAF7683}"/>
    <cellStyle name="Normal 4 8 3" xfId="1297" xr:uid="{00000000-0005-0000-0000-0000CE160000}"/>
    <cellStyle name="Normal 4 8 3 2" xfId="3527" xr:uid="{00000000-0005-0000-0000-0000CF160000}"/>
    <cellStyle name="Normal 4 8 3 2 2" xfId="7750" xr:uid="{00000000-0005-0000-0000-0000D0160000}"/>
    <cellStyle name="Normal 4 8 3 2 2 2" xfId="16192" xr:uid="{DD4123B4-FF45-4124-8E90-0312F37A29D8}"/>
    <cellStyle name="Normal 4 8 3 2 3" xfId="11974" xr:uid="{7BF1F86B-9C3C-443D-9B89-42AD41573AE6}"/>
    <cellStyle name="Normal 4 8 3 3" xfId="5605" xr:uid="{00000000-0005-0000-0000-0000D1160000}"/>
    <cellStyle name="Normal 4 8 3 3 2" xfId="14047" xr:uid="{47C27061-2878-475E-90DA-87E1B0D6A5FB}"/>
    <cellStyle name="Normal 4 8 3 4" xfId="9829" xr:uid="{DAF0578D-60AA-49F4-A134-1882FDABF5BF}"/>
    <cellStyle name="Normal 4 8 4" xfId="1710" xr:uid="{00000000-0005-0000-0000-0000D2160000}"/>
    <cellStyle name="Normal 4 8 4 2" xfId="3940" xr:uid="{00000000-0005-0000-0000-0000D3160000}"/>
    <cellStyle name="Normal 4 8 4 2 2" xfId="8163" xr:uid="{00000000-0005-0000-0000-0000D4160000}"/>
    <cellStyle name="Normal 4 8 4 2 2 2" xfId="16605" xr:uid="{70A0063A-75C5-41F3-9783-51390F31E5DD}"/>
    <cellStyle name="Normal 4 8 4 2 3" xfId="12387" xr:uid="{A7F097D1-6A28-4EA3-8C19-672A398C46F2}"/>
    <cellStyle name="Normal 4 8 4 3" xfId="6018" xr:uid="{00000000-0005-0000-0000-0000D5160000}"/>
    <cellStyle name="Normal 4 8 4 3 2" xfId="14460" xr:uid="{EC50994C-8C46-4ADC-AFD9-86A121F29976}"/>
    <cellStyle name="Normal 4 8 4 4" xfId="10242" xr:uid="{7A24A9FE-DFA1-46DF-B6E0-1BBEE3A5F956}"/>
    <cellStyle name="Normal 4 8 5" xfId="2124" xr:uid="{00000000-0005-0000-0000-0000D6160000}"/>
    <cellStyle name="Normal 4 8 5 2" xfId="4353" xr:uid="{00000000-0005-0000-0000-0000D7160000}"/>
    <cellStyle name="Normal 4 8 5 2 2" xfId="8576" xr:uid="{00000000-0005-0000-0000-0000D8160000}"/>
    <cellStyle name="Normal 4 8 5 2 2 2" xfId="17018" xr:uid="{C4EC47C1-8550-423D-A56A-08F998FBA1AF}"/>
    <cellStyle name="Normal 4 8 5 2 3" xfId="12800" xr:uid="{4AA54104-C563-47FE-B9EF-C8C14E4E9436}"/>
    <cellStyle name="Normal 4 8 5 3" xfId="6431" xr:uid="{00000000-0005-0000-0000-0000D9160000}"/>
    <cellStyle name="Normal 4 8 5 3 2" xfId="14873" xr:uid="{A912ABA3-B366-47E0-8B08-186631BE8974}"/>
    <cellStyle name="Normal 4 8 5 4" xfId="10655" xr:uid="{C7B44268-DB26-4AEC-A0A6-207594B102DC}"/>
    <cellStyle name="Normal 4 8 6" xfId="2560" xr:uid="{00000000-0005-0000-0000-0000DA160000}"/>
    <cellStyle name="Normal 4 8 6 2" xfId="6844" xr:uid="{00000000-0005-0000-0000-0000DB160000}"/>
    <cellStyle name="Normal 4 8 6 2 2" xfId="15286" xr:uid="{1FF499A1-1DE1-4F8B-988F-79B37CEBA3C2}"/>
    <cellStyle name="Normal 4 8 6 3" xfId="11068" xr:uid="{6A60DA38-F005-4B63-8844-81D5E302A72B}"/>
    <cellStyle name="Normal 4 8 7" xfId="4779" xr:uid="{00000000-0005-0000-0000-0000DC160000}"/>
    <cellStyle name="Normal 4 8 7 2" xfId="13221" xr:uid="{74FD6E5A-ADBA-4D1F-82C5-7E0857485E04}"/>
    <cellStyle name="Normal 4 8 8" xfId="9003" xr:uid="{4E4ECDE3-B0DA-472E-AF10-565BC633F53F}"/>
    <cellStyle name="Normal 4 9" xfId="4716" xr:uid="{00000000-0005-0000-0000-0000DD160000}"/>
    <cellStyle name="Normal 4 9 2" xfId="13158" xr:uid="{543BC413-9519-485E-8445-BBF3A4F8B136}"/>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D5E7D335-636C-4449-BBBF-2CAB28EBA09E}"/>
    <cellStyle name="Normal 5 10 2 3" xfId="12388" xr:uid="{58767EBF-8775-4E66-8C63-38B86B7B1D69}"/>
    <cellStyle name="Normal 5 10 3" xfId="6019" xr:uid="{00000000-0005-0000-0000-0000E2160000}"/>
    <cellStyle name="Normal 5 10 3 2" xfId="14461" xr:uid="{4281DDF0-1D20-4153-A7EC-725963BC38F4}"/>
    <cellStyle name="Normal 5 10 4" xfId="10243" xr:uid="{1E20624B-6101-4B2B-97C6-DAEA867DEC91}"/>
    <cellStyle name="Normal 5 11" xfId="2125" xr:uid="{00000000-0005-0000-0000-0000E3160000}"/>
    <cellStyle name="Normal 5 11 2" xfId="4354" xr:uid="{00000000-0005-0000-0000-0000E4160000}"/>
    <cellStyle name="Normal 5 11 2 2" xfId="8577" xr:uid="{00000000-0005-0000-0000-0000E5160000}"/>
    <cellStyle name="Normal 5 11 2 2 2" xfId="17019" xr:uid="{C09ECBA8-7C9F-47C3-BA7F-0568B309DAA0}"/>
    <cellStyle name="Normal 5 11 2 3" xfId="12801" xr:uid="{C5CFE3C4-897E-4C7D-BCD2-2BD2E4B1B40D}"/>
    <cellStyle name="Normal 5 11 3" xfId="6432" xr:uid="{00000000-0005-0000-0000-0000E6160000}"/>
    <cellStyle name="Normal 5 11 3 2" xfId="14874" xr:uid="{1F1601BD-B6C2-44A6-8C92-FF757D7906DF}"/>
    <cellStyle name="Normal 5 11 4" xfId="10656" xr:uid="{FC01D90F-6909-4A4F-9231-BE3D2927D08F}"/>
    <cellStyle name="Normal 5 12" xfId="2561" xr:uid="{00000000-0005-0000-0000-0000E7160000}"/>
    <cellStyle name="Normal 5 12 2" xfId="6845" xr:uid="{00000000-0005-0000-0000-0000E8160000}"/>
    <cellStyle name="Normal 5 12 2 2" xfId="15287" xr:uid="{8896FFAF-FBAE-49CA-8066-EE6F7492C487}"/>
    <cellStyle name="Normal 5 12 3" xfId="11069" xr:uid="{2B8E92EA-B897-401D-A89A-D2C86F5F7B49}"/>
    <cellStyle name="Normal 5 13" xfId="4780" xr:uid="{00000000-0005-0000-0000-0000E9160000}"/>
    <cellStyle name="Normal 5 13 2" xfId="13222" xr:uid="{87FA015E-11FB-4904-BB60-0D82434B49C5}"/>
    <cellStyle name="Normal 5 14" xfId="9004" xr:uid="{E4947636-DDAB-430E-B487-43361541F221}"/>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02AA2348-B4F5-4B63-8022-B51CEC1C07D0}"/>
    <cellStyle name="Normal 5 2 10 2 3" xfId="12802" xr:uid="{2BAF5ABF-476B-40F6-83C2-4140CFB093BC}"/>
    <cellStyle name="Normal 5 2 10 3" xfId="6433" xr:uid="{00000000-0005-0000-0000-0000EE160000}"/>
    <cellStyle name="Normal 5 2 10 3 2" xfId="14875" xr:uid="{EC858AA8-DFD2-4D46-9AF2-6BE0DA307138}"/>
    <cellStyle name="Normal 5 2 10 4" xfId="10657" xr:uid="{09410378-8390-4487-83E9-9B66A45A04F7}"/>
    <cellStyle name="Normal 5 2 11" xfId="2562" xr:uid="{00000000-0005-0000-0000-0000EF160000}"/>
    <cellStyle name="Normal 5 2 11 2" xfId="6846" xr:uid="{00000000-0005-0000-0000-0000F0160000}"/>
    <cellStyle name="Normal 5 2 11 2 2" xfId="15288" xr:uid="{71F4AC2E-340F-44D8-8B1A-3C1E441F40D7}"/>
    <cellStyle name="Normal 5 2 11 3" xfId="11070" xr:uid="{D890EFB8-CDB3-4549-A717-D8E236D22B84}"/>
    <cellStyle name="Normal 5 2 12" xfId="4781" xr:uid="{00000000-0005-0000-0000-0000F1160000}"/>
    <cellStyle name="Normal 5 2 12 2" xfId="13223" xr:uid="{CB49843C-28E6-48A7-8C9D-4B11562EC34D}"/>
    <cellStyle name="Normal 5 2 13" xfId="9005" xr:uid="{717F2C0C-E34E-4849-824E-F32A279D6D34}"/>
    <cellStyle name="Normal 5 2 2" xfId="408" xr:uid="{00000000-0005-0000-0000-0000F2160000}"/>
    <cellStyle name="Normal 5 2 2 10" xfId="2563" xr:uid="{00000000-0005-0000-0000-0000F3160000}"/>
    <cellStyle name="Normal 5 2 2 10 2" xfId="6847" xr:uid="{00000000-0005-0000-0000-0000F4160000}"/>
    <cellStyle name="Normal 5 2 2 10 2 2" xfId="15289" xr:uid="{D743198A-7E78-4C71-98B8-D68B4419EB10}"/>
    <cellStyle name="Normal 5 2 2 10 3" xfId="11071" xr:uid="{77952740-1333-43A5-AB0B-AC24630E3EDB}"/>
    <cellStyle name="Normal 5 2 2 11" xfId="4782" xr:uid="{00000000-0005-0000-0000-0000F5160000}"/>
    <cellStyle name="Normal 5 2 2 11 2" xfId="13224" xr:uid="{9B1C34E2-C09E-449A-BA9B-757F0614F152}"/>
    <cellStyle name="Normal 5 2 2 12" xfId="9006" xr:uid="{75BBB429-388D-41EF-85CD-41763ABF418D}"/>
    <cellStyle name="Normal 5 2 2 2" xfId="409" xr:uid="{00000000-0005-0000-0000-0000F6160000}"/>
    <cellStyle name="Normal 5 2 2 2 10" xfId="4783" xr:uid="{00000000-0005-0000-0000-0000F7160000}"/>
    <cellStyle name="Normal 5 2 2 2 10 2" xfId="13225" xr:uid="{7E2F1EC3-FA6A-41DF-9794-0172943B971D}"/>
    <cellStyle name="Normal 5 2 2 2 11" xfId="9007" xr:uid="{E12F02EF-903E-474D-92A8-F48B44E70ED6}"/>
    <cellStyle name="Normal 5 2 2 2 2" xfId="410" xr:uid="{00000000-0005-0000-0000-0000F8160000}"/>
    <cellStyle name="Normal 5 2 2 2 2 10" xfId="9008" xr:uid="{2BEF8A9B-1148-4253-B69F-1121135AF6B4}"/>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3B903C5B-E35D-4FB0-9265-2B7E0C0EE67F}"/>
    <cellStyle name="Normal 5 2 2 2 2 2 2 2 2 3" xfId="11568" xr:uid="{34443C95-3AD2-4D2F-BE92-63A49FE0451E}"/>
    <cellStyle name="Normal 5 2 2 2 2 2 2 2 3" xfId="5199" xr:uid="{00000000-0005-0000-0000-0000FE160000}"/>
    <cellStyle name="Normal 5 2 2 2 2 2 2 2 3 2" xfId="13641" xr:uid="{41B94A4D-946A-4D22-BA96-4ACB433C7402}"/>
    <cellStyle name="Normal 5 2 2 2 2 2 2 2 4" xfId="9423" xr:uid="{EC4B639C-8E20-4C3B-9779-48D2C9F83074}"/>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78AF7180-6B05-41F2-AD12-6A8616BF299E}"/>
    <cellStyle name="Normal 5 2 2 2 2 2 2 3 2 3" xfId="11981" xr:uid="{03DEE0EE-E5A5-45B0-9746-CFA2DFCE8896}"/>
    <cellStyle name="Normal 5 2 2 2 2 2 2 3 3" xfId="5612" xr:uid="{00000000-0005-0000-0000-000002170000}"/>
    <cellStyle name="Normal 5 2 2 2 2 2 2 3 3 2" xfId="14054" xr:uid="{07D29CA0-C0E2-4184-B056-DC1440442291}"/>
    <cellStyle name="Normal 5 2 2 2 2 2 2 3 4" xfId="9836" xr:uid="{EC67435E-C416-4BD1-87E4-97485DBDF55E}"/>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7F1F4E9E-B1D1-4ECF-B148-D5952662D7DA}"/>
    <cellStyle name="Normal 5 2 2 2 2 2 2 4 2 3" xfId="12394" xr:uid="{D54A90D2-A69A-4E1E-8620-AEA37FCE69B0}"/>
    <cellStyle name="Normal 5 2 2 2 2 2 2 4 3" xfId="6025" xr:uid="{00000000-0005-0000-0000-000006170000}"/>
    <cellStyle name="Normal 5 2 2 2 2 2 2 4 3 2" xfId="14467" xr:uid="{3232B7CE-AFEC-4B91-85E4-4E46E93A22A2}"/>
    <cellStyle name="Normal 5 2 2 2 2 2 2 4 4" xfId="10249" xr:uid="{E91266E7-1DB7-4C16-BBA7-08F9F77027F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25CCE10D-482A-468F-94BD-1213AC5D1DFF}"/>
    <cellStyle name="Normal 5 2 2 2 2 2 2 5 2 3" xfId="12807" xr:uid="{0DC962AE-909E-4B05-A3E6-DB5C0B5DF6AC}"/>
    <cellStyle name="Normal 5 2 2 2 2 2 2 5 3" xfId="6438" xr:uid="{00000000-0005-0000-0000-00000A170000}"/>
    <cellStyle name="Normal 5 2 2 2 2 2 2 5 3 2" xfId="14880" xr:uid="{C7DDE4C9-C577-4565-856B-05521C25D123}"/>
    <cellStyle name="Normal 5 2 2 2 2 2 2 5 4" xfId="10662" xr:uid="{44DDCB23-349B-4514-B74C-4596D124C6B1}"/>
    <cellStyle name="Normal 5 2 2 2 2 2 2 6" xfId="2567" xr:uid="{00000000-0005-0000-0000-00000B170000}"/>
    <cellStyle name="Normal 5 2 2 2 2 2 2 6 2" xfId="6851" xr:uid="{00000000-0005-0000-0000-00000C170000}"/>
    <cellStyle name="Normal 5 2 2 2 2 2 2 6 2 2" xfId="15293" xr:uid="{277E6292-A94A-4D87-A8BE-B88134E7D591}"/>
    <cellStyle name="Normal 5 2 2 2 2 2 2 6 3" xfId="11075" xr:uid="{171179DB-8444-41B6-B6EA-58DDB673BE55}"/>
    <cellStyle name="Normal 5 2 2 2 2 2 2 7" xfId="4786" xr:uid="{00000000-0005-0000-0000-00000D170000}"/>
    <cellStyle name="Normal 5 2 2 2 2 2 2 7 2" xfId="13228" xr:uid="{95477FAB-344A-47AE-B4ED-343577719985}"/>
    <cellStyle name="Normal 5 2 2 2 2 2 2 8" xfId="9010" xr:uid="{6C843792-E525-4841-A266-61B679702E72}"/>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33E033F3-4E96-429A-8982-E063CCCFABCB}"/>
    <cellStyle name="Normal 5 2 2 2 2 2 3 2 3" xfId="11567" xr:uid="{5A12CC1C-A36E-45A4-B6C0-17B81F81A420}"/>
    <cellStyle name="Normal 5 2 2 2 2 2 3 3" xfId="5198" xr:uid="{00000000-0005-0000-0000-000011170000}"/>
    <cellStyle name="Normal 5 2 2 2 2 2 3 3 2" xfId="13640" xr:uid="{C7ED517A-3541-4B87-ADA2-FAD676DADE75}"/>
    <cellStyle name="Normal 5 2 2 2 2 2 3 4" xfId="9422" xr:uid="{2E70F574-366C-4628-BF4D-B0569C3118E6}"/>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6DE51C71-0FA1-4A4F-B93C-5A3173FE1FA4}"/>
    <cellStyle name="Normal 5 2 2 2 2 2 4 2 3" xfId="11980" xr:uid="{060437EC-01C2-47CF-9433-62D7AA09A277}"/>
    <cellStyle name="Normal 5 2 2 2 2 2 4 3" xfId="5611" xr:uid="{00000000-0005-0000-0000-000015170000}"/>
    <cellStyle name="Normal 5 2 2 2 2 2 4 3 2" xfId="14053" xr:uid="{D2C8C5AA-4B99-4047-B08D-05ACF336824A}"/>
    <cellStyle name="Normal 5 2 2 2 2 2 4 4" xfId="9835" xr:uid="{E756927E-98DC-459A-A471-1293FE9C377B}"/>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F544F1BF-5BF6-4548-B1C8-B5E29031EA26}"/>
    <cellStyle name="Normal 5 2 2 2 2 2 5 2 3" xfId="12393" xr:uid="{6BFF8838-9335-489A-9464-E4BB7E96253C}"/>
    <cellStyle name="Normal 5 2 2 2 2 2 5 3" xfId="6024" xr:uid="{00000000-0005-0000-0000-000019170000}"/>
    <cellStyle name="Normal 5 2 2 2 2 2 5 3 2" xfId="14466" xr:uid="{79678582-2340-413A-819A-3E766D099A83}"/>
    <cellStyle name="Normal 5 2 2 2 2 2 5 4" xfId="10248" xr:uid="{B2CD7A18-5CFE-421C-934A-BAAE629EDA6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3871FE07-773B-48C5-80BB-BA1E7A42CA87}"/>
    <cellStyle name="Normal 5 2 2 2 2 2 6 2 3" xfId="12806" xr:uid="{808B55E4-0E44-4FAF-B72F-6481C60169C1}"/>
    <cellStyle name="Normal 5 2 2 2 2 2 6 3" xfId="6437" xr:uid="{00000000-0005-0000-0000-00001D170000}"/>
    <cellStyle name="Normal 5 2 2 2 2 2 6 3 2" xfId="14879" xr:uid="{EAEC2547-E758-4543-BFF6-A079AA0C1783}"/>
    <cellStyle name="Normal 5 2 2 2 2 2 6 4" xfId="10661" xr:uid="{FB16A30F-43D3-4390-A6FD-99B23A6166F8}"/>
    <cellStyle name="Normal 5 2 2 2 2 2 7" xfId="2566" xr:uid="{00000000-0005-0000-0000-00001E170000}"/>
    <cellStyle name="Normal 5 2 2 2 2 2 7 2" xfId="6850" xr:uid="{00000000-0005-0000-0000-00001F170000}"/>
    <cellStyle name="Normal 5 2 2 2 2 2 7 2 2" xfId="15292" xr:uid="{91A00836-E0DE-4E48-8E70-D5C623A1AA4D}"/>
    <cellStyle name="Normal 5 2 2 2 2 2 7 3" xfId="11074" xr:uid="{7775F92A-9BF2-463C-B0DD-157FFBE8FC34}"/>
    <cellStyle name="Normal 5 2 2 2 2 2 8" xfId="4785" xr:uid="{00000000-0005-0000-0000-000020170000}"/>
    <cellStyle name="Normal 5 2 2 2 2 2 8 2" xfId="13227" xr:uid="{6EDFC3BD-E74F-43C9-BEA8-1C1C62056ECB}"/>
    <cellStyle name="Normal 5 2 2 2 2 2 9" xfId="9009" xr:uid="{6D4964EA-E97A-40C2-9E8D-20708C15A6D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FD976A3F-D0FC-4371-9669-5235C7EC0C56}"/>
    <cellStyle name="Normal 5 2 2 2 2 3 2 2 3" xfId="11569" xr:uid="{74C0C114-FF5D-413F-B9A4-3BEB88EC5C25}"/>
    <cellStyle name="Normal 5 2 2 2 2 3 2 3" xfId="5200" xr:uid="{00000000-0005-0000-0000-000025170000}"/>
    <cellStyle name="Normal 5 2 2 2 2 3 2 3 2" xfId="13642" xr:uid="{9CDBA381-92F8-408B-9D43-6DE06B214FA2}"/>
    <cellStyle name="Normal 5 2 2 2 2 3 2 4" xfId="9424" xr:uid="{AA63D2C5-50B4-4FFF-B31E-CEF5C86A635E}"/>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9F3D0471-4DBF-489F-9392-A113BDC74847}"/>
    <cellStyle name="Normal 5 2 2 2 2 3 3 2 3" xfId="11982" xr:uid="{A22EEAD7-FAAC-4797-8D11-0431AD9EEBDA}"/>
    <cellStyle name="Normal 5 2 2 2 2 3 3 3" xfId="5613" xr:uid="{00000000-0005-0000-0000-000029170000}"/>
    <cellStyle name="Normal 5 2 2 2 2 3 3 3 2" xfId="14055" xr:uid="{2075E032-4226-47FA-BC8C-C06E46937726}"/>
    <cellStyle name="Normal 5 2 2 2 2 3 3 4" xfId="9837" xr:uid="{4B8D03EE-8400-4854-906D-AE3146F71946}"/>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3EFEEF29-3192-4CE7-8A3C-15067B9D2492}"/>
    <cellStyle name="Normal 5 2 2 2 2 3 4 2 3" xfId="12395" xr:uid="{F402AA69-A079-4FD5-B1FA-A0BDF5841F00}"/>
    <cellStyle name="Normal 5 2 2 2 2 3 4 3" xfId="6026" xr:uid="{00000000-0005-0000-0000-00002D170000}"/>
    <cellStyle name="Normal 5 2 2 2 2 3 4 3 2" xfId="14468" xr:uid="{B73EBAA0-A145-401D-9361-25F7AFED76F7}"/>
    <cellStyle name="Normal 5 2 2 2 2 3 4 4" xfId="10250" xr:uid="{00B5DA77-6686-4F2F-94D5-B9BD5CB6D695}"/>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15507CD1-F8D6-4FDF-9BA9-98A1DF162100}"/>
    <cellStyle name="Normal 5 2 2 2 2 3 5 2 3" xfId="12808" xr:uid="{ED3C5DFC-D458-4A2A-AF59-240F65BD2C6F}"/>
    <cellStyle name="Normal 5 2 2 2 2 3 5 3" xfId="6439" xr:uid="{00000000-0005-0000-0000-000031170000}"/>
    <cellStyle name="Normal 5 2 2 2 2 3 5 3 2" xfId="14881" xr:uid="{2472B956-51C2-4428-935A-4CD1A0B5B33C}"/>
    <cellStyle name="Normal 5 2 2 2 2 3 5 4" xfId="10663" xr:uid="{EF50F72A-5F69-47B7-9322-4661162AB169}"/>
    <cellStyle name="Normal 5 2 2 2 2 3 6" xfId="2568" xr:uid="{00000000-0005-0000-0000-000032170000}"/>
    <cellStyle name="Normal 5 2 2 2 2 3 6 2" xfId="6852" xr:uid="{00000000-0005-0000-0000-000033170000}"/>
    <cellStyle name="Normal 5 2 2 2 2 3 6 2 2" xfId="15294" xr:uid="{A9997E25-ADD4-4208-93F6-3798CDAE36B8}"/>
    <cellStyle name="Normal 5 2 2 2 2 3 6 3" xfId="11076" xr:uid="{1C0909B5-E0B1-42F4-A6CB-0AC83907171B}"/>
    <cellStyle name="Normal 5 2 2 2 2 3 7" xfId="4787" xr:uid="{00000000-0005-0000-0000-000034170000}"/>
    <cellStyle name="Normal 5 2 2 2 2 3 7 2" xfId="13229" xr:uid="{0C592682-D9CC-4C44-8026-9003D37FA2FA}"/>
    <cellStyle name="Normal 5 2 2 2 2 3 8" xfId="9011" xr:uid="{72F85317-04BE-4A36-B3F0-F04C59359618}"/>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F285A1DB-588F-4EBA-9F16-B183275FBC1B}"/>
    <cellStyle name="Normal 5 2 2 2 2 4 2 3" xfId="11566" xr:uid="{25D14C20-5F93-4A92-BE19-97439947E617}"/>
    <cellStyle name="Normal 5 2 2 2 2 4 3" xfId="5197" xr:uid="{00000000-0005-0000-0000-000038170000}"/>
    <cellStyle name="Normal 5 2 2 2 2 4 3 2" xfId="13639" xr:uid="{C0A02A9C-D985-420E-8141-44160A8C643F}"/>
    <cellStyle name="Normal 5 2 2 2 2 4 4" xfId="9421" xr:uid="{871B07FE-66AB-40FD-BE31-DA19CBE6CDDD}"/>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14543ABC-B285-438E-A568-57DC8B476675}"/>
    <cellStyle name="Normal 5 2 2 2 2 5 2 3" xfId="11979" xr:uid="{C3D9F749-5633-4979-B220-EE880DD5E7F0}"/>
    <cellStyle name="Normal 5 2 2 2 2 5 3" xfId="5610" xr:uid="{00000000-0005-0000-0000-00003C170000}"/>
    <cellStyle name="Normal 5 2 2 2 2 5 3 2" xfId="14052" xr:uid="{BAF724D5-2497-4F47-AA8A-678D20F6077F}"/>
    <cellStyle name="Normal 5 2 2 2 2 5 4" xfId="9834" xr:uid="{DCE5DBC6-C3BC-4704-B15A-CBAE9E37D3E4}"/>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322CEE5F-B5D3-41CA-A455-43B5D31A8222}"/>
    <cellStyle name="Normal 5 2 2 2 2 6 2 3" xfId="12392" xr:uid="{C36162F3-0F5B-40B0-B1D6-031D2FE8B3C9}"/>
    <cellStyle name="Normal 5 2 2 2 2 6 3" xfId="6023" xr:uid="{00000000-0005-0000-0000-000040170000}"/>
    <cellStyle name="Normal 5 2 2 2 2 6 3 2" xfId="14465" xr:uid="{2A6204A3-114C-4A41-BB2F-B11CF45857CB}"/>
    <cellStyle name="Normal 5 2 2 2 2 6 4" xfId="10247" xr:uid="{BFFF88D6-12CC-498B-8BB7-B76413CC3FD5}"/>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D5C916D4-7152-4754-9AED-9DD4362C1FF5}"/>
    <cellStyle name="Normal 5 2 2 2 2 7 2 3" xfId="12805" xr:uid="{1B252E85-73EB-4812-B757-43B1318542F9}"/>
    <cellStyle name="Normal 5 2 2 2 2 7 3" xfId="6436" xr:uid="{00000000-0005-0000-0000-000044170000}"/>
    <cellStyle name="Normal 5 2 2 2 2 7 3 2" xfId="14878" xr:uid="{2C7CE511-4AD5-49E7-93E8-2CAF14D4F482}"/>
    <cellStyle name="Normal 5 2 2 2 2 7 4" xfId="10660" xr:uid="{A9CF556E-E756-485F-BFF7-F57992DDC0AF}"/>
    <cellStyle name="Normal 5 2 2 2 2 8" xfId="2565" xr:uid="{00000000-0005-0000-0000-000045170000}"/>
    <cellStyle name="Normal 5 2 2 2 2 8 2" xfId="6849" xr:uid="{00000000-0005-0000-0000-000046170000}"/>
    <cellStyle name="Normal 5 2 2 2 2 8 2 2" xfId="15291" xr:uid="{539AB2A2-F5DC-4F51-99CC-7282B7A7EE2A}"/>
    <cellStyle name="Normal 5 2 2 2 2 8 3" xfId="11073" xr:uid="{EF80FF04-BFE3-448E-BF4E-DCA920CF3C30}"/>
    <cellStyle name="Normal 5 2 2 2 2 9" xfId="4784" xr:uid="{00000000-0005-0000-0000-000047170000}"/>
    <cellStyle name="Normal 5 2 2 2 2 9 2" xfId="13226" xr:uid="{FC069EAD-21FF-4276-96DE-18562B24DF0E}"/>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DCD57552-1CB8-4E32-A610-3AA07D4607BE}"/>
    <cellStyle name="Normal 5 2 2 2 3 2 2 2 3" xfId="11571" xr:uid="{4581F302-96F4-4689-A367-77A63333FEBA}"/>
    <cellStyle name="Normal 5 2 2 2 3 2 2 3" xfId="5202" xr:uid="{00000000-0005-0000-0000-00004D170000}"/>
    <cellStyle name="Normal 5 2 2 2 3 2 2 3 2" xfId="13644" xr:uid="{FB84BFA7-2DF4-4BD3-AFCB-98082D447757}"/>
    <cellStyle name="Normal 5 2 2 2 3 2 2 4" xfId="9426" xr:uid="{7DB2A802-F823-4A45-B9FF-BA1B13B3E4A6}"/>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5D8E3B96-CC64-4663-A6DF-251224582430}"/>
    <cellStyle name="Normal 5 2 2 2 3 2 3 2 3" xfId="11984" xr:uid="{B69D5C9C-6125-4D96-991C-92F3F88DD08D}"/>
    <cellStyle name="Normal 5 2 2 2 3 2 3 3" xfId="5615" xr:uid="{00000000-0005-0000-0000-000051170000}"/>
    <cellStyle name="Normal 5 2 2 2 3 2 3 3 2" xfId="14057" xr:uid="{99DB16A7-0286-4047-A03F-C5B58F6DF404}"/>
    <cellStyle name="Normal 5 2 2 2 3 2 3 4" xfId="9839" xr:uid="{1CB0C75C-7B22-4E68-B8E1-56ED553F7B09}"/>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65B0E874-7655-4CF0-852D-0DA7DBFBBD01}"/>
    <cellStyle name="Normal 5 2 2 2 3 2 4 2 3" xfId="12397" xr:uid="{E43A8389-676C-4807-9BEF-9F45A6D63AAB}"/>
    <cellStyle name="Normal 5 2 2 2 3 2 4 3" xfId="6028" xr:uid="{00000000-0005-0000-0000-000055170000}"/>
    <cellStyle name="Normal 5 2 2 2 3 2 4 3 2" xfId="14470" xr:uid="{1692D002-AA8E-420A-8C50-C29BAB8670CE}"/>
    <cellStyle name="Normal 5 2 2 2 3 2 4 4" xfId="10252" xr:uid="{2D7AB5FA-CBCB-4546-8C13-674662C0815B}"/>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E4B56A44-CBD8-45A2-A785-E6EDC2DE4D81}"/>
    <cellStyle name="Normal 5 2 2 2 3 2 5 2 3" xfId="12810" xr:uid="{C71924EA-8A0C-4363-90A6-39177F0D560E}"/>
    <cellStyle name="Normal 5 2 2 2 3 2 5 3" xfId="6441" xr:uid="{00000000-0005-0000-0000-000059170000}"/>
    <cellStyle name="Normal 5 2 2 2 3 2 5 3 2" xfId="14883" xr:uid="{1FFBE979-3437-4841-ACE0-5180DE128A81}"/>
    <cellStyle name="Normal 5 2 2 2 3 2 5 4" xfId="10665" xr:uid="{AB2DCBE0-CF47-40B1-863D-C6CDF3607634}"/>
    <cellStyle name="Normal 5 2 2 2 3 2 6" xfId="2570" xr:uid="{00000000-0005-0000-0000-00005A170000}"/>
    <cellStyle name="Normal 5 2 2 2 3 2 6 2" xfId="6854" xr:uid="{00000000-0005-0000-0000-00005B170000}"/>
    <cellStyle name="Normal 5 2 2 2 3 2 6 2 2" xfId="15296" xr:uid="{3E16BD34-ECC8-4B27-9174-3B51CEB0461A}"/>
    <cellStyle name="Normal 5 2 2 2 3 2 6 3" xfId="11078" xr:uid="{BF195A39-659F-46F6-BA3D-189BDE19FA9D}"/>
    <cellStyle name="Normal 5 2 2 2 3 2 7" xfId="4789" xr:uid="{00000000-0005-0000-0000-00005C170000}"/>
    <cellStyle name="Normal 5 2 2 2 3 2 7 2" xfId="13231" xr:uid="{9D092243-2879-4DE0-AB8D-08A568558080}"/>
    <cellStyle name="Normal 5 2 2 2 3 2 8" xfId="9013" xr:uid="{B3103D33-0DEB-4A85-9EDA-B7225BDCAA5B}"/>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6EB9AF1A-D2F9-422A-B8A0-B4BD8ECE2138}"/>
    <cellStyle name="Normal 5 2 2 2 3 3 2 3" xfId="11570" xr:uid="{09B276F9-973C-4A65-9F08-80C688877D5A}"/>
    <cellStyle name="Normal 5 2 2 2 3 3 3" xfId="5201" xr:uid="{00000000-0005-0000-0000-000060170000}"/>
    <cellStyle name="Normal 5 2 2 2 3 3 3 2" xfId="13643" xr:uid="{F0D2EDD1-C6AE-48DC-9ED5-2080C69315C8}"/>
    <cellStyle name="Normal 5 2 2 2 3 3 4" xfId="9425" xr:uid="{45733782-623F-408D-B838-4F1A5E82C076}"/>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8F0F41E1-2844-4635-900C-63F6285B7E41}"/>
    <cellStyle name="Normal 5 2 2 2 3 4 2 3" xfId="11983" xr:uid="{A017618F-98DB-4997-9309-D05D6FE2ADD7}"/>
    <cellStyle name="Normal 5 2 2 2 3 4 3" xfId="5614" xr:uid="{00000000-0005-0000-0000-000064170000}"/>
    <cellStyle name="Normal 5 2 2 2 3 4 3 2" xfId="14056" xr:uid="{C9DFAD07-CD9E-4EDF-8906-E0FD6B182AF0}"/>
    <cellStyle name="Normal 5 2 2 2 3 4 4" xfId="9838" xr:uid="{B474ABE8-8347-4B6D-89C9-AE3BAA16EF73}"/>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2C6CC77B-C49A-43C2-9C5E-7960352AC311}"/>
    <cellStyle name="Normal 5 2 2 2 3 5 2 3" xfId="12396" xr:uid="{DCAD5FE4-49E0-49ED-8ED5-59085CCCD1E4}"/>
    <cellStyle name="Normal 5 2 2 2 3 5 3" xfId="6027" xr:uid="{00000000-0005-0000-0000-000068170000}"/>
    <cellStyle name="Normal 5 2 2 2 3 5 3 2" xfId="14469" xr:uid="{075AC9A2-E21D-4E73-9170-6E912C7B4C37}"/>
    <cellStyle name="Normal 5 2 2 2 3 5 4" xfId="10251" xr:uid="{1A9F1BEC-3992-4554-A75D-C5B48DEE357D}"/>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C5D254F0-F499-40D2-BECA-E532B66E1EB5}"/>
    <cellStyle name="Normal 5 2 2 2 3 6 2 3" xfId="12809" xr:uid="{5A77F28D-2057-4743-8519-7D337DFD0FE0}"/>
    <cellStyle name="Normal 5 2 2 2 3 6 3" xfId="6440" xr:uid="{00000000-0005-0000-0000-00006C170000}"/>
    <cellStyle name="Normal 5 2 2 2 3 6 3 2" xfId="14882" xr:uid="{93EAE8BA-C6F3-476E-AF91-0FE8EC9908DC}"/>
    <cellStyle name="Normal 5 2 2 2 3 6 4" xfId="10664" xr:uid="{D2713EE0-AEFD-4244-BCB7-33D942196A8D}"/>
    <cellStyle name="Normal 5 2 2 2 3 7" xfId="2569" xr:uid="{00000000-0005-0000-0000-00006D170000}"/>
    <cellStyle name="Normal 5 2 2 2 3 7 2" xfId="6853" xr:uid="{00000000-0005-0000-0000-00006E170000}"/>
    <cellStyle name="Normal 5 2 2 2 3 7 2 2" xfId="15295" xr:uid="{5A552AB5-4CF0-4BDB-96D9-7642F3656F44}"/>
    <cellStyle name="Normal 5 2 2 2 3 7 3" xfId="11077" xr:uid="{FBB8EA11-05CC-4AB8-BA4A-3AA31AE60828}"/>
    <cellStyle name="Normal 5 2 2 2 3 8" xfId="4788" xr:uid="{00000000-0005-0000-0000-00006F170000}"/>
    <cellStyle name="Normal 5 2 2 2 3 8 2" xfId="13230" xr:uid="{DB8C8131-7EF2-4375-A6B3-CCC01A970141}"/>
    <cellStyle name="Normal 5 2 2 2 3 9" xfId="9012" xr:uid="{F73B6CAA-CBF3-416C-85DC-0787105E7731}"/>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DA8D266B-E417-4B19-9B21-0A144791C503}"/>
    <cellStyle name="Normal 5 2 2 2 4 2 2 3" xfId="11572" xr:uid="{7B0BCEB7-DC4C-441F-8C77-8970DFA1E5FD}"/>
    <cellStyle name="Normal 5 2 2 2 4 2 3" xfId="5203" xr:uid="{00000000-0005-0000-0000-000074170000}"/>
    <cellStyle name="Normal 5 2 2 2 4 2 3 2" xfId="13645" xr:uid="{2AA506A2-23BF-442C-92E7-8509FC673318}"/>
    <cellStyle name="Normal 5 2 2 2 4 2 4" xfId="9427" xr:uid="{F836A33F-D5EB-47F7-8978-3B2CCABE4D6E}"/>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B1004BCC-32EF-4554-AE6B-867503E6F07E}"/>
    <cellStyle name="Normal 5 2 2 2 4 3 2 3" xfId="11985" xr:uid="{548F86B6-1720-40F4-A2D5-D0B64F03D24E}"/>
    <cellStyle name="Normal 5 2 2 2 4 3 3" xfId="5616" xr:uid="{00000000-0005-0000-0000-000078170000}"/>
    <cellStyle name="Normal 5 2 2 2 4 3 3 2" xfId="14058" xr:uid="{29442AEF-E967-4304-9E64-F27A0B595CAB}"/>
    <cellStyle name="Normal 5 2 2 2 4 3 4" xfId="9840" xr:uid="{67132C29-621E-4D31-AAE6-3FD9C18DA222}"/>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C909AABC-9DAE-4FFC-A962-66C37EDE9892}"/>
    <cellStyle name="Normal 5 2 2 2 4 4 2 3" xfId="12398" xr:uid="{8A0CC91C-1507-43A9-A913-077FC12448C5}"/>
    <cellStyle name="Normal 5 2 2 2 4 4 3" xfId="6029" xr:uid="{00000000-0005-0000-0000-00007C170000}"/>
    <cellStyle name="Normal 5 2 2 2 4 4 3 2" xfId="14471" xr:uid="{23EC29D8-23FE-4C51-95C6-F2A57FA3C7DE}"/>
    <cellStyle name="Normal 5 2 2 2 4 4 4" xfId="10253" xr:uid="{CDDC7C98-1F5A-4136-8F18-2808A446C35B}"/>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7231893D-C928-43A8-88CE-6E0C5E7C8FFF}"/>
    <cellStyle name="Normal 5 2 2 2 4 5 2 3" xfId="12811" xr:uid="{50EE0A10-29D5-44B6-9A7C-861FDD0CA032}"/>
    <cellStyle name="Normal 5 2 2 2 4 5 3" xfId="6442" xr:uid="{00000000-0005-0000-0000-000080170000}"/>
    <cellStyle name="Normal 5 2 2 2 4 5 3 2" xfId="14884" xr:uid="{0D6EFD71-28EE-4C94-9877-57337B206F22}"/>
    <cellStyle name="Normal 5 2 2 2 4 5 4" xfId="10666" xr:uid="{2AEBEA7E-1D42-4F0E-9231-164DFFB3B23C}"/>
    <cellStyle name="Normal 5 2 2 2 4 6" xfId="2571" xr:uid="{00000000-0005-0000-0000-000081170000}"/>
    <cellStyle name="Normal 5 2 2 2 4 6 2" xfId="6855" xr:uid="{00000000-0005-0000-0000-000082170000}"/>
    <cellStyle name="Normal 5 2 2 2 4 6 2 2" xfId="15297" xr:uid="{4F0388F4-D27F-4CBE-B35A-9295B797B9D8}"/>
    <cellStyle name="Normal 5 2 2 2 4 6 3" xfId="11079" xr:uid="{B2F21EB2-EC9A-4AA4-8FF7-65EC2D2C3799}"/>
    <cellStyle name="Normal 5 2 2 2 4 7" xfId="4790" xr:uid="{00000000-0005-0000-0000-000083170000}"/>
    <cellStyle name="Normal 5 2 2 2 4 7 2" xfId="13232" xr:uid="{D111B72C-94C5-4203-93D0-051412986C6F}"/>
    <cellStyle name="Normal 5 2 2 2 4 8" xfId="9014" xr:uid="{04BA6E59-3A7F-40EF-8DFD-0732E355CF1D}"/>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7AC0B0AB-CA3C-4D0E-AA73-AFC3B77FA0D7}"/>
    <cellStyle name="Normal 5 2 2 2 5 2 3" xfId="11565" xr:uid="{67496026-EAFB-46F2-ABBC-0D3BA4AE4D66}"/>
    <cellStyle name="Normal 5 2 2 2 5 3" xfId="5196" xr:uid="{00000000-0005-0000-0000-000087170000}"/>
    <cellStyle name="Normal 5 2 2 2 5 3 2" xfId="13638" xr:uid="{D59D2BDA-6DA7-4F31-8DEF-EDF582978183}"/>
    <cellStyle name="Normal 5 2 2 2 5 4" xfId="9420" xr:uid="{337BE518-4E2B-4DF2-AED3-2CF788CE7B21}"/>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FE2DC76C-29A4-4450-8048-2D8FECF314C0}"/>
    <cellStyle name="Normal 5 2 2 2 6 2 3" xfId="11978" xr:uid="{E08F8D30-D231-409E-9698-B329E4595E8B}"/>
    <cellStyle name="Normal 5 2 2 2 6 3" xfId="5609" xr:uid="{00000000-0005-0000-0000-00008B170000}"/>
    <cellStyle name="Normal 5 2 2 2 6 3 2" xfId="14051" xr:uid="{9916C33C-DC21-487C-AFEE-B205B5AF7CC7}"/>
    <cellStyle name="Normal 5 2 2 2 6 4" xfId="9833" xr:uid="{B2D96E94-A5B4-456A-88E1-E96DD97363DB}"/>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639CDAC1-823C-4B67-9DCF-D3C04A4578F1}"/>
    <cellStyle name="Normal 5 2 2 2 7 2 3" xfId="12391" xr:uid="{76BC58AF-2ED8-4582-AE46-42E6115575EE}"/>
    <cellStyle name="Normal 5 2 2 2 7 3" xfId="6022" xr:uid="{00000000-0005-0000-0000-00008F170000}"/>
    <cellStyle name="Normal 5 2 2 2 7 3 2" xfId="14464" xr:uid="{59C20C92-D608-4847-88B7-5B5B4C120F9F}"/>
    <cellStyle name="Normal 5 2 2 2 7 4" xfId="10246" xr:uid="{393FF051-FF4F-4426-BF66-44FF839CAE7B}"/>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13F90F6E-7BB3-42D0-AAD0-BFFF12D1CFA1}"/>
    <cellStyle name="Normal 5 2 2 2 8 2 3" xfId="12804" xr:uid="{99A5CC4E-090C-4CC2-A303-106BFF69BC03}"/>
    <cellStyle name="Normal 5 2 2 2 8 3" xfId="6435" xr:uid="{00000000-0005-0000-0000-000093170000}"/>
    <cellStyle name="Normal 5 2 2 2 8 3 2" xfId="14877" xr:uid="{88C49079-6DC8-49E5-8BDE-FDAEC8A6AE50}"/>
    <cellStyle name="Normal 5 2 2 2 8 4" xfId="10659" xr:uid="{CC10084B-4CA4-4CC8-96C2-ADE0922A46C4}"/>
    <cellStyle name="Normal 5 2 2 2 9" xfId="2564" xr:uid="{00000000-0005-0000-0000-000094170000}"/>
    <cellStyle name="Normal 5 2 2 2 9 2" xfId="6848" xr:uid="{00000000-0005-0000-0000-000095170000}"/>
    <cellStyle name="Normal 5 2 2 2 9 2 2" xfId="15290" xr:uid="{E6DD3FF8-44A2-4EDF-9021-A3E5EB49CCCB}"/>
    <cellStyle name="Normal 5 2 2 2 9 3" xfId="11072" xr:uid="{125E81AF-66F5-4EFC-9AFC-670C76EFDBEA}"/>
    <cellStyle name="Normal 5 2 2 3" xfId="417" xr:uid="{00000000-0005-0000-0000-000096170000}"/>
    <cellStyle name="Normal 5 2 2 3 10" xfId="9015" xr:uid="{0EF7A90F-D3D4-4D43-8ADA-3F0B996D71A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7B264715-DABB-488B-8312-9C063BFF4638}"/>
    <cellStyle name="Normal 5 2 2 3 2 2 2 2 3" xfId="11575" xr:uid="{5ECA33BA-B39C-44CB-9ADB-422292B122AC}"/>
    <cellStyle name="Normal 5 2 2 3 2 2 2 3" xfId="5206" xr:uid="{00000000-0005-0000-0000-00009C170000}"/>
    <cellStyle name="Normal 5 2 2 3 2 2 2 3 2" xfId="13648" xr:uid="{6979C67F-05C1-4931-993F-DC1F934BAAF1}"/>
    <cellStyle name="Normal 5 2 2 3 2 2 2 4" xfId="9430" xr:uid="{C9DC5F8C-4AB9-4712-9B6A-160658A2051F}"/>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84133F76-639F-4CC4-9CC3-53E99655F851}"/>
    <cellStyle name="Normal 5 2 2 3 2 2 3 2 3" xfId="11988" xr:uid="{88644CDA-A0EB-4592-A428-E1ED73BD8026}"/>
    <cellStyle name="Normal 5 2 2 3 2 2 3 3" xfId="5619" xr:uid="{00000000-0005-0000-0000-0000A0170000}"/>
    <cellStyle name="Normal 5 2 2 3 2 2 3 3 2" xfId="14061" xr:uid="{A7F50070-D865-4530-BC8B-21EC6AA1AE54}"/>
    <cellStyle name="Normal 5 2 2 3 2 2 3 4" xfId="9843" xr:uid="{D1B5D9A8-5BA3-4238-B622-B87145C6C7A4}"/>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039A40BC-3B35-4B03-93B7-C80E24BC91C7}"/>
    <cellStyle name="Normal 5 2 2 3 2 2 4 2 3" xfId="12401" xr:uid="{0BF2502E-A888-4E0E-A74A-DB503F456F7F}"/>
    <cellStyle name="Normal 5 2 2 3 2 2 4 3" xfId="6032" xr:uid="{00000000-0005-0000-0000-0000A4170000}"/>
    <cellStyle name="Normal 5 2 2 3 2 2 4 3 2" xfId="14474" xr:uid="{C3E16320-0A55-486C-A30F-17FA1449EC1B}"/>
    <cellStyle name="Normal 5 2 2 3 2 2 4 4" xfId="10256" xr:uid="{F7BFA7B9-E677-4A9E-B879-ACFEFC6447E2}"/>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29AA3C8F-645A-479C-8BAC-BA92EA866A10}"/>
    <cellStyle name="Normal 5 2 2 3 2 2 5 2 3" xfId="12814" xr:uid="{D0FFC678-1D68-46B5-89C7-34C48B1538FD}"/>
    <cellStyle name="Normal 5 2 2 3 2 2 5 3" xfId="6445" xr:uid="{00000000-0005-0000-0000-0000A8170000}"/>
    <cellStyle name="Normal 5 2 2 3 2 2 5 3 2" xfId="14887" xr:uid="{ADE0D024-8067-465C-BDEE-82200CB2552E}"/>
    <cellStyle name="Normal 5 2 2 3 2 2 5 4" xfId="10669" xr:uid="{61714D48-39C6-455F-A7BD-BF326464B3A9}"/>
    <cellStyle name="Normal 5 2 2 3 2 2 6" xfId="2574" xr:uid="{00000000-0005-0000-0000-0000A9170000}"/>
    <cellStyle name="Normal 5 2 2 3 2 2 6 2" xfId="6858" xr:uid="{00000000-0005-0000-0000-0000AA170000}"/>
    <cellStyle name="Normal 5 2 2 3 2 2 6 2 2" xfId="15300" xr:uid="{9481C620-A710-4564-BD66-5A85D078D1B8}"/>
    <cellStyle name="Normal 5 2 2 3 2 2 6 3" xfId="11082" xr:uid="{094F4AD1-7D37-40B2-94DE-9F0ADF698479}"/>
    <cellStyle name="Normal 5 2 2 3 2 2 7" xfId="4793" xr:uid="{00000000-0005-0000-0000-0000AB170000}"/>
    <cellStyle name="Normal 5 2 2 3 2 2 7 2" xfId="13235" xr:uid="{1BF6E3B3-BE3B-4AC5-84FA-CC781C8C0FCA}"/>
    <cellStyle name="Normal 5 2 2 3 2 2 8" xfId="9017" xr:uid="{957654C4-7C1D-4111-89D4-28C92FFE3005}"/>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33EB267C-34C1-4929-A9F6-8EFE2BA3E431}"/>
    <cellStyle name="Normal 5 2 2 3 2 3 2 3" xfId="11574" xr:uid="{59D81481-B4A2-459D-9318-F068F347650A}"/>
    <cellStyle name="Normal 5 2 2 3 2 3 3" xfId="5205" xr:uid="{00000000-0005-0000-0000-0000AF170000}"/>
    <cellStyle name="Normal 5 2 2 3 2 3 3 2" xfId="13647" xr:uid="{DCD6B3EB-89B6-4DD3-B8D3-ED0FB2A57418}"/>
    <cellStyle name="Normal 5 2 2 3 2 3 4" xfId="9429" xr:uid="{21920DF9-2A13-4F10-96C6-D99DEBEB70B5}"/>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779163BE-FD3F-45AD-A49E-7F4D5D0BC1A1}"/>
    <cellStyle name="Normal 5 2 2 3 2 4 2 3" xfId="11987" xr:uid="{B951C95F-E8E7-4F29-A776-31F7FC67493C}"/>
    <cellStyle name="Normal 5 2 2 3 2 4 3" xfId="5618" xr:uid="{00000000-0005-0000-0000-0000B3170000}"/>
    <cellStyle name="Normal 5 2 2 3 2 4 3 2" xfId="14060" xr:uid="{266E9BB2-F934-449B-B159-F24288A9E633}"/>
    <cellStyle name="Normal 5 2 2 3 2 4 4" xfId="9842" xr:uid="{00BF8A42-D3CF-4F9A-8267-64971707C563}"/>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5F4F626F-9BB4-40B4-B8C7-44E2AAEC9C84}"/>
    <cellStyle name="Normal 5 2 2 3 2 5 2 3" xfId="12400" xr:uid="{87988032-A101-4B06-96EC-99BE1884AF55}"/>
    <cellStyle name="Normal 5 2 2 3 2 5 3" xfId="6031" xr:uid="{00000000-0005-0000-0000-0000B7170000}"/>
    <cellStyle name="Normal 5 2 2 3 2 5 3 2" xfId="14473" xr:uid="{A6746CB0-647F-4E3E-901E-B2F9377B5332}"/>
    <cellStyle name="Normal 5 2 2 3 2 5 4" xfId="10255" xr:uid="{EF21A3A9-9999-44CE-894F-A40E0A8833A9}"/>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18A04DAE-0B95-4549-A855-F701FA39ED63}"/>
    <cellStyle name="Normal 5 2 2 3 2 6 2 3" xfId="12813" xr:uid="{32722B20-760E-4F0A-AA5B-6AC79CC42CE1}"/>
    <cellStyle name="Normal 5 2 2 3 2 6 3" xfId="6444" xr:uid="{00000000-0005-0000-0000-0000BB170000}"/>
    <cellStyle name="Normal 5 2 2 3 2 6 3 2" xfId="14886" xr:uid="{028C0936-C9EB-4621-9301-AA52A0E46D49}"/>
    <cellStyle name="Normal 5 2 2 3 2 6 4" xfId="10668" xr:uid="{2C449DC2-7AC7-4129-8D9C-9873B26FB999}"/>
    <cellStyle name="Normal 5 2 2 3 2 7" xfId="2573" xr:uid="{00000000-0005-0000-0000-0000BC170000}"/>
    <cellStyle name="Normal 5 2 2 3 2 7 2" xfId="6857" xr:uid="{00000000-0005-0000-0000-0000BD170000}"/>
    <cellStyle name="Normal 5 2 2 3 2 7 2 2" xfId="15299" xr:uid="{D497BCFE-8CC0-4F7C-A7AD-A6446BB8D964}"/>
    <cellStyle name="Normal 5 2 2 3 2 7 3" xfId="11081" xr:uid="{74B507B7-D233-4028-BE8B-119187E9D7BE}"/>
    <cellStyle name="Normal 5 2 2 3 2 8" xfId="4792" xr:uid="{00000000-0005-0000-0000-0000BE170000}"/>
    <cellStyle name="Normal 5 2 2 3 2 8 2" xfId="13234" xr:uid="{6B46F50F-B686-44CD-925C-D3717C2D2EDA}"/>
    <cellStyle name="Normal 5 2 2 3 2 9" xfId="9016" xr:uid="{A28AA2FF-069E-4F6A-AFB7-AD00AEE2FB84}"/>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43A9B931-FAF0-4B69-ADE9-A38DB8EDA487}"/>
    <cellStyle name="Normal 5 2 2 3 3 2 2 3" xfId="11576" xr:uid="{BFE456D6-F844-4419-A4D3-716582CEE963}"/>
    <cellStyle name="Normal 5 2 2 3 3 2 3" xfId="5207" xr:uid="{00000000-0005-0000-0000-0000C3170000}"/>
    <cellStyle name="Normal 5 2 2 3 3 2 3 2" xfId="13649" xr:uid="{B7EC31A2-846D-456D-8463-62493C3183F9}"/>
    <cellStyle name="Normal 5 2 2 3 3 2 4" xfId="9431" xr:uid="{A1C1D00A-5A60-4103-9A89-705EE1835B04}"/>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36094BB6-55E2-4C40-ACE6-14727AA58EA4}"/>
    <cellStyle name="Normal 5 2 2 3 3 3 2 3" xfId="11989" xr:uid="{F89F4956-DFDA-4846-A7F6-9EA479F575DE}"/>
    <cellStyle name="Normal 5 2 2 3 3 3 3" xfId="5620" xr:uid="{00000000-0005-0000-0000-0000C7170000}"/>
    <cellStyle name="Normal 5 2 2 3 3 3 3 2" xfId="14062" xr:uid="{E44B1E93-FAA6-410D-82DA-1FE2783C2CE1}"/>
    <cellStyle name="Normal 5 2 2 3 3 3 4" xfId="9844" xr:uid="{FE61179E-BF99-47A2-8AF9-DFAA893F6ECB}"/>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2BC70AA1-7545-4849-9290-A8526E0229AA}"/>
    <cellStyle name="Normal 5 2 2 3 3 4 2 3" xfId="12402" xr:uid="{5041283C-A922-449D-BEAB-9099F7C97993}"/>
    <cellStyle name="Normal 5 2 2 3 3 4 3" xfId="6033" xr:uid="{00000000-0005-0000-0000-0000CB170000}"/>
    <cellStyle name="Normal 5 2 2 3 3 4 3 2" xfId="14475" xr:uid="{0905BCC8-DAAC-4525-A80D-EB1FFE5E2AAE}"/>
    <cellStyle name="Normal 5 2 2 3 3 4 4" xfId="10257" xr:uid="{6B6FEA38-E87C-45CB-8A4A-3416F9BEB349}"/>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D6FE69B3-7FAF-4291-923F-12C6CCD8AE93}"/>
    <cellStyle name="Normal 5 2 2 3 3 5 2 3" xfId="12815" xr:uid="{894D8FFE-ACDC-413F-8F00-B33F5B32C9FB}"/>
    <cellStyle name="Normal 5 2 2 3 3 5 3" xfId="6446" xr:uid="{00000000-0005-0000-0000-0000CF170000}"/>
    <cellStyle name="Normal 5 2 2 3 3 5 3 2" xfId="14888" xr:uid="{B01E9EE9-0E44-4690-BBA9-62EB54A2481B}"/>
    <cellStyle name="Normal 5 2 2 3 3 5 4" xfId="10670" xr:uid="{70669CA4-A54F-41E8-8985-892B453DE050}"/>
    <cellStyle name="Normal 5 2 2 3 3 6" xfId="2575" xr:uid="{00000000-0005-0000-0000-0000D0170000}"/>
    <cellStyle name="Normal 5 2 2 3 3 6 2" xfId="6859" xr:uid="{00000000-0005-0000-0000-0000D1170000}"/>
    <cellStyle name="Normal 5 2 2 3 3 6 2 2" xfId="15301" xr:uid="{6BDDA412-FA2F-4BD8-BD0C-AAA05EDB3B4C}"/>
    <cellStyle name="Normal 5 2 2 3 3 6 3" xfId="11083" xr:uid="{8E6BB436-EE87-4281-9182-1CC4BCCF921A}"/>
    <cellStyle name="Normal 5 2 2 3 3 7" xfId="4794" xr:uid="{00000000-0005-0000-0000-0000D2170000}"/>
    <cellStyle name="Normal 5 2 2 3 3 7 2" xfId="13236" xr:uid="{5ED1BAD1-E176-4349-9B6C-AE02848FC0FC}"/>
    <cellStyle name="Normal 5 2 2 3 3 8" xfId="9018" xr:uid="{249B8990-1D66-4DDA-ACC1-16F43C2441D8}"/>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7E771B30-95B9-481F-83BF-1B76F52F1286}"/>
    <cellStyle name="Normal 5 2 2 3 4 2 3" xfId="11573" xr:uid="{2095CB05-D2D4-40F8-9CE9-9BA2E1890EE3}"/>
    <cellStyle name="Normal 5 2 2 3 4 3" xfId="5204" xr:uid="{00000000-0005-0000-0000-0000D6170000}"/>
    <cellStyle name="Normal 5 2 2 3 4 3 2" xfId="13646" xr:uid="{8382091F-FC1A-4BF8-BCF3-B5A0B80C0E23}"/>
    <cellStyle name="Normal 5 2 2 3 4 4" xfId="9428" xr:uid="{C0FC3F55-8043-497D-96A1-B94EF53693DE}"/>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0963293D-AEBD-49AF-BD1B-316F92B50395}"/>
    <cellStyle name="Normal 5 2 2 3 5 2 3" xfId="11986" xr:uid="{0638B891-6F74-41D2-9D56-E8DB9A1607AD}"/>
    <cellStyle name="Normal 5 2 2 3 5 3" xfId="5617" xr:uid="{00000000-0005-0000-0000-0000DA170000}"/>
    <cellStyle name="Normal 5 2 2 3 5 3 2" xfId="14059" xr:uid="{8294754C-29D3-461A-A7CF-382A850B66EA}"/>
    <cellStyle name="Normal 5 2 2 3 5 4" xfId="9841" xr:uid="{A08C2F66-F1FC-49F1-A701-716710F84D8E}"/>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364299A3-6F17-4021-9809-EB5B9B07FEC8}"/>
    <cellStyle name="Normal 5 2 2 3 6 2 3" xfId="12399" xr:uid="{44AA528C-3513-414F-A36F-C89549783270}"/>
    <cellStyle name="Normal 5 2 2 3 6 3" xfId="6030" xr:uid="{00000000-0005-0000-0000-0000DE170000}"/>
    <cellStyle name="Normal 5 2 2 3 6 3 2" xfId="14472" xr:uid="{9C9A5991-2CEF-4497-BE17-CB1C78F17B07}"/>
    <cellStyle name="Normal 5 2 2 3 6 4" xfId="10254" xr:uid="{2F05A773-9AE7-464E-92AD-A6BB49960B1D}"/>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987D22B2-DF0B-4637-A1F6-4C4E4BE73254}"/>
    <cellStyle name="Normal 5 2 2 3 7 2 3" xfId="12812" xr:uid="{AD21F646-EE3F-4DC8-85AF-E786D8628FDE}"/>
    <cellStyle name="Normal 5 2 2 3 7 3" xfId="6443" xr:uid="{00000000-0005-0000-0000-0000E2170000}"/>
    <cellStyle name="Normal 5 2 2 3 7 3 2" xfId="14885" xr:uid="{B19CB2C9-02F1-478A-BC10-96C1286BCADD}"/>
    <cellStyle name="Normal 5 2 2 3 7 4" xfId="10667" xr:uid="{0541043C-B490-42B7-8BB4-4796F30F33E3}"/>
    <cellStyle name="Normal 5 2 2 3 8" xfId="2572" xr:uid="{00000000-0005-0000-0000-0000E3170000}"/>
    <cellStyle name="Normal 5 2 2 3 8 2" xfId="6856" xr:uid="{00000000-0005-0000-0000-0000E4170000}"/>
    <cellStyle name="Normal 5 2 2 3 8 2 2" xfId="15298" xr:uid="{64A13568-5511-4E1E-AD59-B145EB2AEA73}"/>
    <cellStyle name="Normal 5 2 2 3 8 3" xfId="11080" xr:uid="{8B272B80-5864-475D-B1EF-E4126C6EC9CB}"/>
    <cellStyle name="Normal 5 2 2 3 9" xfId="4791" xr:uid="{00000000-0005-0000-0000-0000E5170000}"/>
    <cellStyle name="Normal 5 2 2 3 9 2" xfId="13233" xr:uid="{07B605D6-9D7E-4C83-A449-04C128B6F55E}"/>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09D3F937-55EF-4A66-AEF9-A4452041390A}"/>
    <cellStyle name="Normal 5 2 2 4 2 2 2 3" xfId="11578" xr:uid="{B8E3AD70-6F7D-4D62-AF19-522EA1F48537}"/>
    <cellStyle name="Normal 5 2 2 4 2 2 3" xfId="5209" xr:uid="{00000000-0005-0000-0000-0000EB170000}"/>
    <cellStyle name="Normal 5 2 2 4 2 2 3 2" xfId="13651" xr:uid="{E7E6BD8C-949D-4490-AFEA-D094FC841418}"/>
    <cellStyle name="Normal 5 2 2 4 2 2 4" xfId="9433" xr:uid="{0AF8DCE6-633E-48A4-99F0-F35D6D12417B}"/>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6E27F565-6A34-4933-B0BC-D3814AC1B137}"/>
    <cellStyle name="Normal 5 2 2 4 2 3 2 3" xfId="11991" xr:uid="{E337EB2D-028F-4882-AD26-1465358D2092}"/>
    <cellStyle name="Normal 5 2 2 4 2 3 3" xfId="5622" xr:uid="{00000000-0005-0000-0000-0000EF170000}"/>
    <cellStyle name="Normal 5 2 2 4 2 3 3 2" xfId="14064" xr:uid="{25F88F5F-727D-43F7-AEA5-DBB6369E8246}"/>
    <cellStyle name="Normal 5 2 2 4 2 3 4" xfId="9846" xr:uid="{4ED0571F-7ECD-4827-9B3C-67A6B8DF0C29}"/>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0EA6207C-B590-4F8E-8F91-6E34121B29F4}"/>
    <cellStyle name="Normal 5 2 2 4 2 4 2 3" xfId="12404" xr:uid="{B72CE2C1-6F7B-476D-A201-94CF2C7CC7DF}"/>
    <cellStyle name="Normal 5 2 2 4 2 4 3" xfId="6035" xr:uid="{00000000-0005-0000-0000-0000F3170000}"/>
    <cellStyle name="Normal 5 2 2 4 2 4 3 2" xfId="14477" xr:uid="{EB1EBECC-BFC2-4782-8D43-51D0ADF2F760}"/>
    <cellStyle name="Normal 5 2 2 4 2 4 4" xfId="10259" xr:uid="{C0E96BF6-6EBA-4067-BE7C-CBF6A90B23E3}"/>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96A82163-0B53-42C0-A5DC-19E02FF40D66}"/>
    <cellStyle name="Normal 5 2 2 4 2 5 2 3" xfId="12817" xr:uid="{7EDE7E28-718C-4984-A87A-A092DF28C9B1}"/>
    <cellStyle name="Normal 5 2 2 4 2 5 3" xfId="6448" xr:uid="{00000000-0005-0000-0000-0000F7170000}"/>
    <cellStyle name="Normal 5 2 2 4 2 5 3 2" xfId="14890" xr:uid="{3A1E28B3-FD94-457B-BAF8-DF9301A4CFFE}"/>
    <cellStyle name="Normal 5 2 2 4 2 5 4" xfId="10672" xr:uid="{69D61FBA-1802-4A4D-9414-2F09375E9D47}"/>
    <cellStyle name="Normal 5 2 2 4 2 6" xfId="2577" xr:uid="{00000000-0005-0000-0000-0000F8170000}"/>
    <cellStyle name="Normal 5 2 2 4 2 6 2" xfId="6861" xr:uid="{00000000-0005-0000-0000-0000F9170000}"/>
    <cellStyle name="Normal 5 2 2 4 2 6 2 2" xfId="15303" xr:uid="{97D0DF0A-A66D-4A5E-8529-4FBA8E2BA88C}"/>
    <cellStyle name="Normal 5 2 2 4 2 6 3" xfId="11085" xr:uid="{73A2CCAC-6070-4535-8FD5-BA9CA8342115}"/>
    <cellStyle name="Normal 5 2 2 4 2 7" xfId="4796" xr:uid="{00000000-0005-0000-0000-0000FA170000}"/>
    <cellStyle name="Normal 5 2 2 4 2 7 2" xfId="13238" xr:uid="{B24F657C-ECA4-45B5-B218-BD8610ED1EDD}"/>
    <cellStyle name="Normal 5 2 2 4 2 8" xfId="9020" xr:uid="{C08F1738-CE43-4605-B699-9DA8B96A1CF5}"/>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94AF1B1D-7C78-4284-AEB4-9039D204D809}"/>
    <cellStyle name="Normal 5 2 2 4 3 2 3" xfId="11577" xr:uid="{CD003FE6-D3B3-46EC-BC2A-8CB4DC0FF877}"/>
    <cellStyle name="Normal 5 2 2 4 3 3" xfId="5208" xr:uid="{00000000-0005-0000-0000-0000FE170000}"/>
    <cellStyle name="Normal 5 2 2 4 3 3 2" xfId="13650" xr:uid="{8545D1C2-51DA-41D2-BF93-5FE927740E3C}"/>
    <cellStyle name="Normal 5 2 2 4 3 4" xfId="9432" xr:uid="{F1A204D8-48E5-4492-BCB8-B9A81F3249A9}"/>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4016F918-5772-4F9A-ACC5-16A6706BEF95}"/>
    <cellStyle name="Normal 5 2 2 4 4 2 3" xfId="11990" xr:uid="{3D7B994D-8A0F-4061-99D1-3AAAAF149419}"/>
    <cellStyle name="Normal 5 2 2 4 4 3" xfId="5621" xr:uid="{00000000-0005-0000-0000-000002180000}"/>
    <cellStyle name="Normal 5 2 2 4 4 3 2" xfId="14063" xr:uid="{C43A21DB-FB56-44B0-A670-6D9D3E1CA526}"/>
    <cellStyle name="Normal 5 2 2 4 4 4" xfId="9845" xr:uid="{BE4DE5D3-3E13-4875-85D2-0399B992DD59}"/>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A22064A3-B5D3-4E06-ACD1-5981A37C5512}"/>
    <cellStyle name="Normal 5 2 2 4 5 2 3" xfId="12403" xr:uid="{C3A42793-3CCC-4D8B-BC45-D5F89B79814D}"/>
    <cellStyle name="Normal 5 2 2 4 5 3" xfId="6034" xr:uid="{00000000-0005-0000-0000-000006180000}"/>
    <cellStyle name="Normal 5 2 2 4 5 3 2" xfId="14476" xr:uid="{88B5D284-6154-4F42-AEE9-9D42A3FE83EF}"/>
    <cellStyle name="Normal 5 2 2 4 5 4" xfId="10258" xr:uid="{3E05CBD5-F76F-42FE-BEC1-4966B9420BB1}"/>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20DE8A1E-382E-41DB-AC85-DB9DD18E1BA7}"/>
    <cellStyle name="Normal 5 2 2 4 6 2 3" xfId="12816" xr:uid="{07E80DBB-2F90-48BD-9671-1EE955C51535}"/>
    <cellStyle name="Normal 5 2 2 4 6 3" xfId="6447" xr:uid="{00000000-0005-0000-0000-00000A180000}"/>
    <cellStyle name="Normal 5 2 2 4 6 3 2" xfId="14889" xr:uid="{9E2BC656-EADC-4000-B6A1-A425E9EDFD6D}"/>
    <cellStyle name="Normal 5 2 2 4 6 4" xfId="10671" xr:uid="{D57358F6-E946-4531-A891-72F1263E7241}"/>
    <cellStyle name="Normal 5 2 2 4 7" xfId="2576" xr:uid="{00000000-0005-0000-0000-00000B180000}"/>
    <cellStyle name="Normal 5 2 2 4 7 2" xfId="6860" xr:uid="{00000000-0005-0000-0000-00000C180000}"/>
    <cellStyle name="Normal 5 2 2 4 7 2 2" xfId="15302" xr:uid="{BC6DFBE7-99C0-4EB4-9448-A8164CBB3C80}"/>
    <cellStyle name="Normal 5 2 2 4 7 3" xfId="11084" xr:uid="{D16EDD52-E8E9-4BB7-A589-0858ADCBB15A}"/>
    <cellStyle name="Normal 5 2 2 4 8" xfId="4795" xr:uid="{00000000-0005-0000-0000-00000D180000}"/>
    <cellStyle name="Normal 5 2 2 4 8 2" xfId="13237" xr:uid="{879DE24D-334B-4005-A1EC-E8FE79788A74}"/>
    <cellStyle name="Normal 5 2 2 4 9" xfId="9019" xr:uid="{87FE6068-BD1F-4AEF-9768-4F2F540C1B74}"/>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4255FF95-A0FA-4D78-B6A1-FD8234B9180A}"/>
    <cellStyle name="Normal 5 2 2 5 2 2 3" xfId="11579" xr:uid="{14869B15-DAA7-466A-AD74-D24F9A38B437}"/>
    <cellStyle name="Normal 5 2 2 5 2 3" xfId="5210" xr:uid="{00000000-0005-0000-0000-000012180000}"/>
    <cellStyle name="Normal 5 2 2 5 2 3 2" xfId="13652" xr:uid="{F5F8A29C-3DE0-4CA1-8CC3-7AFA4F7B9D6C}"/>
    <cellStyle name="Normal 5 2 2 5 2 4" xfId="9434" xr:uid="{DE430C01-22A1-42F1-BAB5-34E901850EBB}"/>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FEF64B6E-8B79-45E1-B397-51115A970942}"/>
    <cellStyle name="Normal 5 2 2 5 3 2 3" xfId="11992" xr:uid="{E40529AB-3DF2-492D-B1AD-1019755FF766}"/>
    <cellStyle name="Normal 5 2 2 5 3 3" xfId="5623" xr:uid="{00000000-0005-0000-0000-000016180000}"/>
    <cellStyle name="Normal 5 2 2 5 3 3 2" xfId="14065" xr:uid="{6B928EC8-A02F-42C9-A73E-9A669864298C}"/>
    <cellStyle name="Normal 5 2 2 5 3 4" xfId="9847" xr:uid="{CB698EE4-9107-4015-8130-267C70D414ED}"/>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13D41D5F-0A1E-47E6-84FC-90AF20668020}"/>
    <cellStyle name="Normal 5 2 2 5 4 2 3" xfId="12405" xr:uid="{51920C18-6100-4880-96A4-89705CF2E830}"/>
    <cellStyle name="Normal 5 2 2 5 4 3" xfId="6036" xr:uid="{00000000-0005-0000-0000-00001A180000}"/>
    <cellStyle name="Normal 5 2 2 5 4 3 2" xfId="14478" xr:uid="{FD5E550B-5CA9-4D3A-B8AD-F761B480F3B3}"/>
    <cellStyle name="Normal 5 2 2 5 4 4" xfId="10260" xr:uid="{BE3BD0D0-F22F-405A-ABFA-1929D261F97E}"/>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F6F0965A-9A38-4DCA-AD43-EF83420C1C1D}"/>
    <cellStyle name="Normal 5 2 2 5 5 2 3" xfId="12818" xr:uid="{F979A610-587C-4646-94C2-74B6943AF54C}"/>
    <cellStyle name="Normal 5 2 2 5 5 3" xfId="6449" xr:uid="{00000000-0005-0000-0000-00001E180000}"/>
    <cellStyle name="Normal 5 2 2 5 5 3 2" xfId="14891" xr:uid="{754A50FA-83B8-4589-BD75-BAA165DBD60C}"/>
    <cellStyle name="Normal 5 2 2 5 5 4" xfId="10673" xr:uid="{4D968FCF-5C75-4649-98DC-25D4075CE282}"/>
    <cellStyle name="Normal 5 2 2 5 6" xfId="2578" xr:uid="{00000000-0005-0000-0000-00001F180000}"/>
    <cellStyle name="Normal 5 2 2 5 6 2" xfId="6862" xr:uid="{00000000-0005-0000-0000-000020180000}"/>
    <cellStyle name="Normal 5 2 2 5 6 2 2" xfId="15304" xr:uid="{57C715E5-5012-4FFF-85D7-4F8185D2E33F}"/>
    <cellStyle name="Normal 5 2 2 5 6 3" xfId="11086" xr:uid="{90FB6601-1D72-4679-A1E7-7AAC37153EE6}"/>
    <cellStyle name="Normal 5 2 2 5 7" xfId="4797" xr:uid="{00000000-0005-0000-0000-000021180000}"/>
    <cellStyle name="Normal 5 2 2 5 7 2" xfId="13239" xr:uid="{C50BDC95-88C1-422F-BF8A-962A32F9FB6A}"/>
    <cellStyle name="Normal 5 2 2 5 8" xfId="9021" xr:uid="{E18955A1-5618-472F-BD89-B5A2B8E6BB1D}"/>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A1F045B4-5D49-45F3-AF6A-ECBB53963F58}"/>
    <cellStyle name="Normal 5 2 2 6 2 3" xfId="11564" xr:uid="{F1F733A5-29B8-4447-A84A-29976702338F}"/>
    <cellStyle name="Normal 5 2 2 6 3" xfId="5195" xr:uid="{00000000-0005-0000-0000-000025180000}"/>
    <cellStyle name="Normal 5 2 2 6 3 2" xfId="13637" xr:uid="{17F5578B-A7C0-4AC5-935D-1FCEEAA46515}"/>
    <cellStyle name="Normal 5 2 2 6 4" xfId="9419" xr:uid="{2263CA97-DFCB-40CA-89C5-8F06AF0FCCF8}"/>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7406C41C-DF07-4AF8-99DA-0E974D9DE755}"/>
    <cellStyle name="Normal 5 2 2 7 2 3" xfId="11977" xr:uid="{BE2FD8EC-96DC-40CC-99F6-4EB2C9545FE3}"/>
    <cellStyle name="Normal 5 2 2 7 3" xfId="5608" xr:uid="{00000000-0005-0000-0000-000029180000}"/>
    <cellStyle name="Normal 5 2 2 7 3 2" xfId="14050" xr:uid="{5904D9B2-FF4A-4E2A-9E61-920CE6411A66}"/>
    <cellStyle name="Normal 5 2 2 7 4" xfId="9832" xr:uid="{5EED450D-4003-4146-B392-9268979B40A9}"/>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30CCBD15-E6B8-4355-97C0-82DFD4D874F8}"/>
    <cellStyle name="Normal 5 2 2 8 2 3" xfId="12390" xr:uid="{FCD7626C-3872-4E69-9A2F-3F778C85673D}"/>
    <cellStyle name="Normal 5 2 2 8 3" xfId="6021" xr:uid="{00000000-0005-0000-0000-00002D180000}"/>
    <cellStyle name="Normal 5 2 2 8 3 2" xfId="14463" xr:uid="{30FCD636-1732-417B-80A5-FEE805C47BB7}"/>
    <cellStyle name="Normal 5 2 2 8 4" xfId="10245" xr:uid="{7646A277-6A03-4973-ADA6-1A442EC95118}"/>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C53C0350-3FFF-42E5-875E-A005363328FC}"/>
    <cellStyle name="Normal 5 2 2 9 2 3" xfId="12803" xr:uid="{0FDBBF56-EDF1-4514-8139-002ED0B2FF66}"/>
    <cellStyle name="Normal 5 2 2 9 3" xfId="6434" xr:uid="{00000000-0005-0000-0000-000031180000}"/>
    <cellStyle name="Normal 5 2 2 9 3 2" xfId="14876" xr:uid="{FFF5873F-1BFC-4002-A4D3-FC3FA470ADBA}"/>
    <cellStyle name="Normal 5 2 2 9 4" xfId="10658" xr:uid="{0767EF95-1F8D-432A-BD04-AA6E599FF8E6}"/>
    <cellStyle name="Normal 5 2 3" xfId="424" xr:uid="{00000000-0005-0000-0000-000032180000}"/>
    <cellStyle name="Normal 5 2 3 10" xfId="4798" xr:uid="{00000000-0005-0000-0000-000033180000}"/>
    <cellStyle name="Normal 5 2 3 10 2" xfId="13240" xr:uid="{C8FAE4F7-F54A-4C44-AD83-7605DB3DBCC9}"/>
    <cellStyle name="Normal 5 2 3 11" xfId="9022" xr:uid="{2599BB62-C413-47A9-A20D-5AF2BAC3C976}"/>
    <cellStyle name="Normal 5 2 3 2" xfId="425" xr:uid="{00000000-0005-0000-0000-000034180000}"/>
    <cellStyle name="Normal 5 2 3 2 10" xfId="9023" xr:uid="{7C0F376A-8BC5-4F3B-8A66-216B70982A0F}"/>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A40A0E2F-BD83-426B-8578-B459A5C2047F}"/>
    <cellStyle name="Normal 5 2 3 2 2 2 2 2 3" xfId="11583" xr:uid="{93C073F8-62C5-4D8F-A1D5-574A6F204C40}"/>
    <cellStyle name="Normal 5 2 3 2 2 2 2 3" xfId="5214" xr:uid="{00000000-0005-0000-0000-00003A180000}"/>
    <cellStyle name="Normal 5 2 3 2 2 2 2 3 2" xfId="13656" xr:uid="{4AE40A82-0C74-42EA-B7DB-8183A8BB5A7A}"/>
    <cellStyle name="Normal 5 2 3 2 2 2 2 4" xfId="9438" xr:uid="{21653DAA-4C84-4535-8188-36906812AD27}"/>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60A4029C-DA96-4346-A247-5F94209B2909}"/>
    <cellStyle name="Normal 5 2 3 2 2 2 3 2 3" xfId="11996" xr:uid="{205531D5-EEC2-4F47-9253-184987D03DD1}"/>
    <cellStyle name="Normal 5 2 3 2 2 2 3 3" xfId="5627" xr:uid="{00000000-0005-0000-0000-00003E180000}"/>
    <cellStyle name="Normal 5 2 3 2 2 2 3 3 2" xfId="14069" xr:uid="{94E820FB-5D7C-4C87-B3EA-301501B6E320}"/>
    <cellStyle name="Normal 5 2 3 2 2 2 3 4" xfId="9851" xr:uid="{A6D7C03D-5847-4868-8D9F-C7B2929C025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37705810-3C27-4A78-A4C8-D664213D266C}"/>
    <cellStyle name="Normal 5 2 3 2 2 2 4 2 3" xfId="12409" xr:uid="{16BD4D29-6B73-4FE9-80F9-2AE5A7F29950}"/>
    <cellStyle name="Normal 5 2 3 2 2 2 4 3" xfId="6040" xr:uid="{00000000-0005-0000-0000-000042180000}"/>
    <cellStyle name="Normal 5 2 3 2 2 2 4 3 2" xfId="14482" xr:uid="{62FF5BBE-3C3D-44F3-B865-2AD47E14EC0F}"/>
    <cellStyle name="Normal 5 2 3 2 2 2 4 4" xfId="10264" xr:uid="{428A947F-EF9E-4582-9717-140EE018C5C7}"/>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E5DF2E73-4BED-428E-8529-7DCEDB22AD5E}"/>
    <cellStyle name="Normal 5 2 3 2 2 2 5 2 3" xfId="12822" xr:uid="{11F4FDCF-2A9E-4B66-A1F6-03ADB0F6A9DE}"/>
    <cellStyle name="Normal 5 2 3 2 2 2 5 3" xfId="6453" xr:uid="{00000000-0005-0000-0000-000046180000}"/>
    <cellStyle name="Normal 5 2 3 2 2 2 5 3 2" xfId="14895" xr:uid="{84876B84-A23C-4265-AE6D-37FB0DC2A871}"/>
    <cellStyle name="Normal 5 2 3 2 2 2 5 4" xfId="10677" xr:uid="{B9B5FA80-9309-40CD-8FE3-37976B834228}"/>
    <cellStyle name="Normal 5 2 3 2 2 2 6" xfId="2582" xr:uid="{00000000-0005-0000-0000-000047180000}"/>
    <cellStyle name="Normal 5 2 3 2 2 2 6 2" xfId="6866" xr:uid="{00000000-0005-0000-0000-000048180000}"/>
    <cellStyle name="Normal 5 2 3 2 2 2 6 2 2" xfId="15308" xr:uid="{F44AFB40-E3FF-4291-84BC-64D11C5CF558}"/>
    <cellStyle name="Normal 5 2 3 2 2 2 6 3" xfId="11090" xr:uid="{0840BD6D-9B97-44AE-B55F-458CD288DD1D}"/>
    <cellStyle name="Normal 5 2 3 2 2 2 7" xfId="4801" xr:uid="{00000000-0005-0000-0000-000049180000}"/>
    <cellStyle name="Normal 5 2 3 2 2 2 7 2" xfId="13243" xr:uid="{9B4AD16A-ECE6-480E-B32F-70F27A317A34}"/>
    <cellStyle name="Normal 5 2 3 2 2 2 8" xfId="9025" xr:uid="{C37485E3-357B-47E8-86B7-43A37D20943F}"/>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2AD7D8C5-A0C2-41EF-A618-6D9E031658D7}"/>
    <cellStyle name="Normal 5 2 3 2 2 3 2 3" xfId="11582" xr:uid="{6DD77690-5708-42E3-991F-FCA2989063FB}"/>
    <cellStyle name="Normal 5 2 3 2 2 3 3" xfId="5213" xr:uid="{00000000-0005-0000-0000-00004D180000}"/>
    <cellStyle name="Normal 5 2 3 2 2 3 3 2" xfId="13655" xr:uid="{E4FB01BD-04A7-426D-B22D-2E53D8F3DE6C}"/>
    <cellStyle name="Normal 5 2 3 2 2 3 4" xfId="9437" xr:uid="{9471243A-302F-4847-9B08-046C73988ED5}"/>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C128D049-4861-4A72-A8E7-045623824800}"/>
    <cellStyle name="Normal 5 2 3 2 2 4 2 3" xfId="11995" xr:uid="{96FC0E3C-6CC0-4B69-AB37-57F28E0AE006}"/>
    <cellStyle name="Normal 5 2 3 2 2 4 3" xfId="5626" xr:uid="{00000000-0005-0000-0000-000051180000}"/>
    <cellStyle name="Normal 5 2 3 2 2 4 3 2" xfId="14068" xr:uid="{99991CBA-F67A-460F-9FF0-195C5B1D89DF}"/>
    <cellStyle name="Normal 5 2 3 2 2 4 4" xfId="9850" xr:uid="{77172B7D-DCF0-4F92-BFD2-EF32DEA6B73E}"/>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AFED4E26-2BCE-438A-B843-6F0174171BF8}"/>
    <cellStyle name="Normal 5 2 3 2 2 5 2 3" xfId="12408" xr:uid="{A20DA560-63C2-4F89-B1B6-DF8E6C7FAE96}"/>
    <cellStyle name="Normal 5 2 3 2 2 5 3" xfId="6039" xr:uid="{00000000-0005-0000-0000-000055180000}"/>
    <cellStyle name="Normal 5 2 3 2 2 5 3 2" xfId="14481" xr:uid="{EB8DD421-E9E6-4AA8-94BA-84A263291663}"/>
    <cellStyle name="Normal 5 2 3 2 2 5 4" xfId="10263" xr:uid="{1284EB6D-A9B3-4F65-B0BA-CCD029259EBD}"/>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C49255DE-3177-4A27-BFD4-3D32AF5DB991}"/>
    <cellStyle name="Normal 5 2 3 2 2 6 2 3" xfId="12821" xr:uid="{219069B3-2642-4864-9F19-134280A3D673}"/>
    <cellStyle name="Normal 5 2 3 2 2 6 3" xfId="6452" xr:uid="{00000000-0005-0000-0000-000059180000}"/>
    <cellStyle name="Normal 5 2 3 2 2 6 3 2" xfId="14894" xr:uid="{FFE71318-170E-4432-BEED-F117A48E564E}"/>
    <cellStyle name="Normal 5 2 3 2 2 6 4" xfId="10676" xr:uid="{1EC6328F-4887-4F63-ACEB-7154F9909CEB}"/>
    <cellStyle name="Normal 5 2 3 2 2 7" xfId="2581" xr:uid="{00000000-0005-0000-0000-00005A180000}"/>
    <cellStyle name="Normal 5 2 3 2 2 7 2" xfId="6865" xr:uid="{00000000-0005-0000-0000-00005B180000}"/>
    <cellStyle name="Normal 5 2 3 2 2 7 2 2" xfId="15307" xr:uid="{85838FDC-3A7A-4DBF-83B1-DD1046E919D0}"/>
    <cellStyle name="Normal 5 2 3 2 2 7 3" xfId="11089" xr:uid="{910F9740-FCC9-4EA6-BDD2-659242EA186C}"/>
    <cellStyle name="Normal 5 2 3 2 2 8" xfId="4800" xr:uid="{00000000-0005-0000-0000-00005C180000}"/>
    <cellStyle name="Normal 5 2 3 2 2 8 2" xfId="13242" xr:uid="{5F7FBCA5-E468-4306-AD75-E8A90DC8E0CD}"/>
    <cellStyle name="Normal 5 2 3 2 2 9" xfId="9024" xr:uid="{2437197C-E515-4ACA-ABB8-8E2A5E032AD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F1874A7A-6CD0-4897-BF97-60FD073DCBE2}"/>
    <cellStyle name="Normal 5 2 3 2 3 2 2 3" xfId="11584" xr:uid="{4F6A8A9A-F991-4BCD-AE8A-4F9AA12F41F5}"/>
    <cellStyle name="Normal 5 2 3 2 3 2 3" xfId="5215" xr:uid="{00000000-0005-0000-0000-000061180000}"/>
    <cellStyle name="Normal 5 2 3 2 3 2 3 2" xfId="13657" xr:uid="{744C2158-7FFD-4441-8B9C-1556EEF920D5}"/>
    <cellStyle name="Normal 5 2 3 2 3 2 4" xfId="9439" xr:uid="{FF64D8FE-99B0-469F-BBED-77BFC0027FDA}"/>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76775FC6-C1FD-4F3F-A007-A934276A3F23}"/>
    <cellStyle name="Normal 5 2 3 2 3 3 2 3" xfId="11997" xr:uid="{F30FDFD9-71CA-467D-BACE-26C9B2B08A0A}"/>
    <cellStyle name="Normal 5 2 3 2 3 3 3" xfId="5628" xr:uid="{00000000-0005-0000-0000-000065180000}"/>
    <cellStyle name="Normal 5 2 3 2 3 3 3 2" xfId="14070" xr:uid="{BC541E7D-B43C-4456-8857-81388904FC83}"/>
    <cellStyle name="Normal 5 2 3 2 3 3 4" xfId="9852" xr:uid="{2174F9B8-5CEC-49AA-895A-E6F9D1464921}"/>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809C95AF-3E5A-451D-B4C5-93968F819062}"/>
    <cellStyle name="Normal 5 2 3 2 3 4 2 3" xfId="12410" xr:uid="{B8F5FE9C-F944-47EF-A555-CDB3CD324541}"/>
    <cellStyle name="Normal 5 2 3 2 3 4 3" xfId="6041" xr:uid="{00000000-0005-0000-0000-000069180000}"/>
    <cellStyle name="Normal 5 2 3 2 3 4 3 2" xfId="14483" xr:uid="{EE0C4810-E232-4865-847F-6670766D2BD4}"/>
    <cellStyle name="Normal 5 2 3 2 3 4 4" xfId="10265" xr:uid="{3D3C606F-E593-4AA4-87F7-8A28A4C63F4E}"/>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08B92BAC-C148-43B6-B3D8-A6D4DDC7DCF8}"/>
    <cellStyle name="Normal 5 2 3 2 3 5 2 3" xfId="12823" xr:uid="{46D87246-D33E-4BEF-9E10-2E7F6F2070C5}"/>
    <cellStyle name="Normal 5 2 3 2 3 5 3" xfId="6454" xr:uid="{00000000-0005-0000-0000-00006D180000}"/>
    <cellStyle name="Normal 5 2 3 2 3 5 3 2" xfId="14896" xr:uid="{A06B7555-E558-4F6A-8E27-5A16B47DE067}"/>
    <cellStyle name="Normal 5 2 3 2 3 5 4" xfId="10678" xr:uid="{C36AAD93-5EDE-4D83-9547-A43287639715}"/>
    <cellStyle name="Normal 5 2 3 2 3 6" xfId="2583" xr:uid="{00000000-0005-0000-0000-00006E180000}"/>
    <cellStyle name="Normal 5 2 3 2 3 6 2" xfId="6867" xr:uid="{00000000-0005-0000-0000-00006F180000}"/>
    <cellStyle name="Normal 5 2 3 2 3 6 2 2" xfId="15309" xr:uid="{F3DD0C3A-3EBF-430F-B4FD-DDD584568482}"/>
    <cellStyle name="Normal 5 2 3 2 3 6 3" xfId="11091" xr:uid="{11CA200E-E414-4CC6-AAEB-D3A4125E3E5E}"/>
    <cellStyle name="Normal 5 2 3 2 3 7" xfId="4802" xr:uid="{00000000-0005-0000-0000-000070180000}"/>
    <cellStyle name="Normal 5 2 3 2 3 7 2" xfId="13244" xr:uid="{11A6A3F9-4912-4C31-BF52-18A9F9796973}"/>
    <cellStyle name="Normal 5 2 3 2 3 8" xfId="9026" xr:uid="{17392DC5-3C4D-4E26-8D5A-878C80D87253}"/>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58278696-8D0C-4A1A-B855-6793E3031023}"/>
    <cellStyle name="Normal 5 2 3 2 4 2 3" xfId="11581" xr:uid="{6BF901E3-7BB6-4FAB-902A-51499D953744}"/>
    <cellStyle name="Normal 5 2 3 2 4 3" xfId="5212" xr:uid="{00000000-0005-0000-0000-000074180000}"/>
    <cellStyle name="Normal 5 2 3 2 4 3 2" xfId="13654" xr:uid="{EAAFF849-65C3-4C78-92AC-6E1DA98A7CAE}"/>
    <cellStyle name="Normal 5 2 3 2 4 4" xfId="9436" xr:uid="{89E72894-0132-43C6-A6FF-04861AAC7D28}"/>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59710193-6F2F-4C88-8051-E92017B932DD}"/>
    <cellStyle name="Normal 5 2 3 2 5 2 3" xfId="11994" xr:uid="{275D3FF6-8B35-42F4-A964-5B4C99ED58C4}"/>
    <cellStyle name="Normal 5 2 3 2 5 3" xfId="5625" xr:uid="{00000000-0005-0000-0000-000078180000}"/>
    <cellStyle name="Normal 5 2 3 2 5 3 2" xfId="14067" xr:uid="{F8B093BC-C390-4114-9954-E13CBC3B9E65}"/>
    <cellStyle name="Normal 5 2 3 2 5 4" xfId="9849" xr:uid="{3330F185-2A8D-447A-9FEB-AA520A238657}"/>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C43B0C37-F2CA-49FD-B644-22A08149E2E1}"/>
    <cellStyle name="Normal 5 2 3 2 6 2 3" xfId="12407" xr:uid="{631A720F-44EA-4AA2-B628-BC677A4A1F40}"/>
    <cellStyle name="Normal 5 2 3 2 6 3" xfId="6038" xr:uid="{00000000-0005-0000-0000-00007C180000}"/>
    <cellStyle name="Normal 5 2 3 2 6 3 2" xfId="14480" xr:uid="{7AED72D3-5A82-4109-8B65-56B9D2B2CC80}"/>
    <cellStyle name="Normal 5 2 3 2 6 4" xfId="10262" xr:uid="{2EB88BB3-BCB2-41F4-9C34-F703353F9B6E}"/>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BD31B0B8-2772-4CC1-9586-09B2455AA482}"/>
    <cellStyle name="Normal 5 2 3 2 7 2 3" xfId="12820" xr:uid="{3D7D7504-B785-48DC-BDD0-5155BF40B80F}"/>
    <cellStyle name="Normal 5 2 3 2 7 3" xfId="6451" xr:uid="{00000000-0005-0000-0000-000080180000}"/>
    <cellStyle name="Normal 5 2 3 2 7 3 2" xfId="14893" xr:uid="{666FA3D2-FC72-48C7-89D7-3731B4F130C8}"/>
    <cellStyle name="Normal 5 2 3 2 7 4" xfId="10675" xr:uid="{E2B918EA-0535-41AC-B1C9-F66A6861FE89}"/>
    <cellStyle name="Normal 5 2 3 2 8" xfId="2580" xr:uid="{00000000-0005-0000-0000-000081180000}"/>
    <cellStyle name="Normal 5 2 3 2 8 2" xfId="6864" xr:uid="{00000000-0005-0000-0000-000082180000}"/>
    <cellStyle name="Normal 5 2 3 2 8 2 2" xfId="15306" xr:uid="{832FB0DE-F32E-4FFD-B184-7EB1F6A2F494}"/>
    <cellStyle name="Normal 5 2 3 2 8 3" xfId="11088" xr:uid="{51C7D848-6DB2-4E59-975E-2259C769D029}"/>
    <cellStyle name="Normal 5 2 3 2 9" xfId="4799" xr:uid="{00000000-0005-0000-0000-000083180000}"/>
    <cellStyle name="Normal 5 2 3 2 9 2" xfId="13241" xr:uid="{43C15C96-E00A-4CC8-B4B5-C5EC1C1471A3}"/>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94D00FFA-68F9-4C7C-B2A9-131525ACAEDD}"/>
    <cellStyle name="Normal 5 2 3 3 2 2 2 3" xfId="11586" xr:uid="{F31C6CF2-439A-4BC6-AA20-EDFAA7D9F878}"/>
    <cellStyle name="Normal 5 2 3 3 2 2 3" xfId="5217" xr:uid="{00000000-0005-0000-0000-000089180000}"/>
    <cellStyle name="Normal 5 2 3 3 2 2 3 2" xfId="13659" xr:uid="{DA78888B-72D9-400A-ADC0-E9BE3068E8D7}"/>
    <cellStyle name="Normal 5 2 3 3 2 2 4" xfId="9441" xr:uid="{AECEC239-4C92-4F74-A52E-46D691EE2641}"/>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75EC3A83-4E6B-475D-9BA8-C2B7BE767794}"/>
    <cellStyle name="Normal 5 2 3 3 2 3 2 3" xfId="11999" xr:uid="{04778707-DEB3-44DC-83F1-9C61E38F88B0}"/>
    <cellStyle name="Normal 5 2 3 3 2 3 3" xfId="5630" xr:uid="{00000000-0005-0000-0000-00008D180000}"/>
    <cellStyle name="Normal 5 2 3 3 2 3 3 2" xfId="14072" xr:uid="{1DD306CB-19AB-42C2-8FF1-6C52335E3B35}"/>
    <cellStyle name="Normal 5 2 3 3 2 3 4" xfId="9854" xr:uid="{7451565E-58CB-4BCF-B0B4-4068B4152DDA}"/>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8BDC1CB2-EBAF-417C-9E4C-0F184709D45F}"/>
    <cellStyle name="Normal 5 2 3 3 2 4 2 3" xfId="12412" xr:uid="{F3740AFE-A29C-4E3D-8F1B-55FC89244305}"/>
    <cellStyle name="Normal 5 2 3 3 2 4 3" xfId="6043" xr:uid="{00000000-0005-0000-0000-000091180000}"/>
    <cellStyle name="Normal 5 2 3 3 2 4 3 2" xfId="14485" xr:uid="{744E6143-AF90-4D9B-A73D-1693B37699B2}"/>
    <cellStyle name="Normal 5 2 3 3 2 4 4" xfId="10267" xr:uid="{48D8612E-4637-4C0A-9DED-5B7CB271678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509F6A51-0726-401B-A7BD-5B449D3B2226}"/>
    <cellStyle name="Normal 5 2 3 3 2 5 2 3" xfId="12825" xr:uid="{0A478BE0-A885-4748-934D-11964B9DE1D4}"/>
    <cellStyle name="Normal 5 2 3 3 2 5 3" xfId="6456" xr:uid="{00000000-0005-0000-0000-000095180000}"/>
    <cellStyle name="Normal 5 2 3 3 2 5 3 2" xfId="14898" xr:uid="{E67D6119-6649-4137-B352-911EEC991C1C}"/>
    <cellStyle name="Normal 5 2 3 3 2 5 4" xfId="10680" xr:uid="{0133689E-EF11-4DBB-8E62-B83276A12565}"/>
    <cellStyle name="Normal 5 2 3 3 2 6" xfId="2585" xr:uid="{00000000-0005-0000-0000-000096180000}"/>
    <cellStyle name="Normal 5 2 3 3 2 6 2" xfId="6869" xr:uid="{00000000-0005-0000-0000-000097180000}"/>
    <cellStyle name="Normal 5 2 3 3 2 6 2 2" xfId="15311" xr:uid="{DFA45A20-D098-4F17-8060-A51710122C81}"/>
    <cellStyle name="Normal 5 2 3 3 2 6 3" xfId="11093" xr:uid="{7A153C9F-F4CE-4D41-AA5C-036381920B09}"/>
    <cellStyle name="Normal 5 2 3 3 2 7" xfId="4804" xr:uid="{00000000-0005-0000-0000-000098180000}"/>
    <cellStyle name="Normal 5 2 3 3 2 7 2" xfId="13246" xr:uid="{BF53DE86-0754-45DD-AD8A-2F0B87D6F7D9}"/>
    <cellStyle name="Normal 5 2 3 3 2 8" xfId="9028" xr:uid="{B1D2AC46-D8D2-4A6F-93D7-5F4A713F5EBF}"/>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CCC18AA2-7785-4F59-9538-9F9DF67AB01B}"/>
    <cellStyle name="Normal 5 2 3 3 3 2 3" xfId="11585" xr:uid="{08C08C25-613F-401E-B786-D92E8AC93129}"/>
    <cellStyle name="Normal 5 2 3 3 3 3" xfId="5216" xr:uid="{00000000-0005-0000-0000-00009C180000}"/>
    <cellStyle name="Normal 5 2 3 3 3 3 2" xfId="13658" xr:uid="{4063F1C1-0A9A-45B7-AA69-5F83680FEE36}"/>
    <cellStyle name="Normal 5 2 3 3 3 4" xfId="9440" xr:uid="{F63BC6AE-1C5A-4B7E-90D7-229249848A19}"/>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214B3ECA-468C-4E99-90F7-BD72BB1173E4}"/>
    <cellStyle name="Normal 5 2 3 3 4 2 3" xfId="11998" xr:uid="{5909380C-853D-4D54-9A38-D051DF0D3D20}"/>
    <cellStyle name="Normal 5 2 3 3 4 3" xfId="5629" xr:uid="{00000000-0005-0000-0000-0000A0180000}"/>
    <cellStyle name="Normal 5 2 3 3 4 3 2" xfId="14071" xr:uid="{766380F2-A66B-4950-853E-1E482B284756}"/>
    <cellStyle name="Normal 5 2 3 3 4 4" xfId="9853" xr:uid="{C65AF020-C4B0-4224-8A4B-562E8F27F4EC}"/>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5A8F62C7-761F-4A49-8CDC-9E14B41BACB8}"/>
    <cellStyle name="Normal 5 2 3 3 5 2 3" xfId="12411" xr:uid="{96D19CD3-7591-4D24-BD16-43A28A0D266D}"/>
    <cellStyle name="Normal 5 2 3 3 5 3" xfId="6042" xr:uid="{00000000-0005-0000-0000-0000A4180000}"/>
    <cellStyle name="Normal 5 2 3 3 5 3 2" xfId="14484" xr:uid="{B64CC7B8-7916-48D8-BDAE-8168BEEEDE1F}"/>
    <cellStyle name="Normal 5 2 3 3 5 4" xfId="10266" xr:uid="{3B039F42-BE6C-484B-A0FF-9EE3A010FF1B}"/>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682F9C5E-4789-43B4-ADBE-EB0AADB95403}"/>
    <cellStyle name="Normal 5 2 3 3 6 2 3" xfId="12824" xr:uid="{1127E45F-5DD8-428A-8492-A471A79AA2BB}"/>
    <cellStyle name="Normal 5 2 3 3 6 3" xfId="6455" xr:uid="{00000000-0005-0000-0000-0000A8180000}"/>
    <cellStyle name="Normal 5 2 3 3 6 3 2" xfId="14897" xr:uid="{E5973CF9-7398-4BBC-B82B-5D7804C6FBDE}"/>
    <cellStyle name="Normal 5 2 3 3 6 4" xfId="10679" xr:uid="{7B3DABED-9CA2-4D4B-8382-A5584F08FA28}"/>
    <cellStyle name="Normal 5 2 3 3 7" xfId="2584" xr:uid="{00000000-0005-0000-0000-0000A9180000}"/>
    <cellStyle name="Normal 5 2 3 3 7 2" xfId="6868" xr:uid="{00000000-0005-0000-0000-0000AA180000}"/>
    <cellStyle name="Normal 5 2 3 3 7 2 2" xfId="15310" xr:uid="{0A0306CA-C069-420B-929D-0A448FFDF097}"/>
    <cellStyle name="Normal 5 2 3 3 7 3" xfId="11092" xr:uid="{835BA95E-7428-4075-9CFB-130611F2A90C}"/>
    <cellStyle name="Normal 5 2 3 3 8" xfId="4803" xr:uid="{00000000-0005-0000-0000-0000AB180000}"/>
    <cellStyle name="Normal 5 2 3 3 8 2" xfId="13245" xr:uid="{5EBF4D99-FD09-483F-8AA3-FC2BBE883D3B}"/>
    <cellStyle name="Normal 5 2 3 3 9" xfId="9027" xr:uid="{40AFFDAA-9BC4-4CE7-8174-B480845847B2}"/>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C39EE7EC-8F2E-41C0-AA69-15A68D78B5A7}"/>
    <cellStyle name="Normal 5 2 3 4 2 2 3" xfId="11587" xr:uid="{FE275443-350C-41DC-B2C7-7C6FB6432B0F}"/>
    <cellStyle name="Normal 5 2 3 4 2 3" xfId="5218" xr:uid="{00000000-0005-0000-0000-0000B0180000}"/>
    <cellStyle name="Normal 5 2 3 4 2 3 2" xfId="13660" xr:uid="{4444908B-F5DF-41AA-A0F3-D6CFD6DE2EAD}"/>
    <cellStyle name="Normal 5 2 3 4 2 4" xfId="9442" xr:uid="{B9CB9724-E2C3-4160-A777-ACA4476E1640}"/>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4A96A418-A3FF-4BDC-AA08-C860F5C01C7C}"/>
    <cellStyle name="Normal 5 2 3 4 3 2 3" xfId="12000" xr:uid="{9A5D0A01-D69A-4D5B-8E31-796F2A28067F}"/>
    <cellStyle name="Normal 5 2 3 4 3 3" xfId="5631" xr:uid="{00000000-0005-0000-0000-0000B4180000}"/>
    <cellStyle name="Normal 5 2 3 4 3 3 2" xfId="14073" xr:uid="{8D51B045-96FF-44CF-ACA2-8ED131B9BCD4}"/>
    <cellStyle name="Normal 5 2 3 4 3 4" xfId="9855" xr:uid="{D99155DE-F848-4D00-93DC-3F7FD433F148}"/>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2AE28179-6293-45FE-9706-08501C28E1DC}"/>
    <cellStyle name="Normal 5 2 3 4 4 2 3" xfId="12413" xr:uid="{D13088F7-208B-4A14-8A86-36E6E75E201C}"/>
    <cellStyle name="Normal 5 2 3 4 4 3" xfId="6044" xr:uid="{00000000-0005-0000-0000-0000B8180000}"/>
    <cellStyle name="Normal 5 2 3 4 4 3 2" xfId="14486" xr:uid="{B571B236-8058-4CF6-B980-C2BC80947443}"/>
    <cellStyle name="Normal 5 2 3 4 4 4" xfId="10268" xr:uid="{C05A574C-8E09-459C-AA27-2D213B4627F1}"/>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F5F7A240-D722-4019-BD21-D293C8AF8ACB}"/>
    <cellStyle name="Normal 5 2 3 4 5 2 3" xfId="12826" xr:uid="{48A525ED-ADB3-4B03-B7F5-5EF52FDF49A9}"/>
    <cellStyle name="Normal 5 2 3 4 5 3" xfId="6457" xr:uid="{00000000-0005-0000-0000-0000BC180000}"/>
    <cellStyle name="Normal 5 2 3 4 5 3 2" xfId="14899" xr:uid="{2B7F198D-446B-42D0-A742-A8DBF4911A09}"/>
    <cellStyle name="Normal 5 2 3 4 5 4" xfId="10681" xr:uid="{E80630B4-038D-4D29-9D1E-AA1E5AE3B74F}"/>
    <cellStyle name="Normal 5 2 3 4 6" xfId="2586" xr:uid="{00000000-0005-0000-0000-0000BD180000}"/>
    <cellStyle name="Normal 5 2 3 4 6 2" xfId="6870" xr:uid="{00000000-0005-0000-0000-0000BE180000}"/>
    <cellStyle name="Normal 5 2 3 4 6 2 2" xfId="15312" xr:uid="{3C523500-FB20-4E54-A115-0FF7E16FB2C3}"/>
    <cellStyle name="Normal 5 2 3 4 6 3" xfId="11094" xr:uid="{BD93B229-26FA-45A5-B35D-E8C428E2FD33}"/>
    <cellStyle name="Normal 5 2 3 4 7" xfId="4805" xr:uid="{00000000-0005-0000-0000-0000BF180000}"/>
    <cellStyle name="Normal 5 2 3 4 7 2" xfId="13247" xr:uid="{52D87E59-88C8-48E7-89F2-ABC4738C70AD}"/>
    <cellStyle name="Normal 5 2 3 4 8" xfId="9029" xr:uid="{B82CA4EF-A658-4A79-B1FF-735713E00B0C}"/>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10BA5C4C-74B5-4E1E-9B9E-AC41892223BE}"/>
    <cellStyle name="Normal 5 2 3 5 2 3" xfId="11580" xr:uid="{AD2BBA40-713F-4E7C-B3A6-61CB04ACDD4E}"/>
    <cellStyle name="Normal 5 2 3 5 3" xfId="5211" xr:uid="{00000000-0005-0000-0000-0000C3180000}"/>
    <cellStyle name="Normal 5 2 3 5 3 2" xfId="13653" xr:uid="{2F7C0FB0-A4CF-4893-86B0-961F577DE61B}"/>
    <cellStyle name="Normal 5 2 3 5 4" xfId="9435" xr:uid="{C93F8812-CDDB-414F-8D33-F634BBF5F896}"/>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2AA0D426-8BA5-4E90-9D5B-DEFBECC16FCB}"/>
    <cellStyle name="Normal 5 2 3 6 2 3" xfId="11993" xr:uid="{BD5C6266-4DEE-4814-AA3D-87DCE5A2BC1D}"/>
    <cellStyle name="Normal 5 2 3 6 3" xfId="5624" xr:uid="{00000000-0005-0000-0000-0000C7180000}"/>
    <cellStyle name="Normal 5 2 3 6 3 2" xfId="14066" xr:uid="{CC36CEF1-A639-42AF-82F9-2DD72F4C0003}"/>
    <cellStyle name="Normal 5 2 3 6 4" xfId="9848" xr:uid="{4A8085C5-BD9A-422B-A123-926B221A9F41}"/>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62403F23-9F21-46D3-A381-3E5D4466883A}"/>
    <cellStyle name="Normal 5 2 3 7 2 3" xfId="12406" xr:uid="{60FBF40F-ABB7-479A-B40A-B4583AF0E42E}"/>
    <cellStyle name="Normal 5 2 3 7 3" xfId="6037" xr:uid="{00000000-0005-0000-0000-0000CB180000}"/>
    <cellStyle name="Normal 5 2 3 7 3 2" xfId="14479" xr:uid="{99EFD5AE-A8F6-49DC-BA28-A848B5F01D9B}"/>
    <cellStyle name="Normal 5 2 3 7 4" xfId="10261" xr:uid="{28874B5D-0DBE-446E-B85C-4F00B011DF6F}"/>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C7525220-FC00-43C4-A51C-D38FA39BFF12}"/>
    <cellStyle name="Normal 5 2 3 8 2 3" xfId="12819" xr:uid="{D1FB1CE3-B9E3-4BE2-839A-48C08FC51F36}"/>
    <cellStyle name="Normal 5 2 3 8 3" xfId="6450" xr:uid="{00000000-0005-0000-0000-0000CF180000}"/>
    <cellStyle name="Normal 5 2 3 8 3 2" xfId="14892" xr:uid="{9AA1EB33-8AE8-403C-A5C0-83B8CFE9F1E7}"/>
    <cellStyle name="Normal 5 2 3 8 4" xfId="10674" xr:uid="{2F2E027B-B189-4087-85B8-425CAF0501C7}"/>
    <cellStyle name="Normal 5 2 3 9" xfId="2579" xr:uid="{00000000-0005-0000-0000-0000D0180000}"/>
    <cellStyle name="Normal 5 2 3 9 2" xfId="6863" xr:uid="{00000000-0005-0000-0000-0000D1180000}"/>
    <cellStyle name="Normal 5 2 3 9 2 2" xfId="15305" xr:uid="{6641844C-412B-4248-946E-DE62D713C8C1}"/>
    <cellStyle name="Normal 5 2 3 9 3" xfId="11087" xr:uid="{D7255B99-721E-46EB-95A7-0E3D733F4F63}"/>
    <cellStyle name="Normal 5 2 4" xfId="432" xr:uid="{00000000-0005-0000-0000-0000D2180000}"/>
    <cellStyle name="Normal 5 2 4 10" xfId="9030" xr:uid="{01ACF932-0C51-4F7F-A3CA-337A08628F68}"/>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3976913D-2442-43D6-8D5B-4CD1E4807A74}"/>
    <cellStyle name="Normal 5 2 4 2 2 2 2 3" xfId="11590" xr:uid="{3C5E305D-77A1-45AB-AA27-ABE493D4E7B0}"/>
    <cellStyle name="Normal 5 2 4 2 2 2 3" xfId="5221" xr:uid="{00000000-0005-0000-0000-0000D8180000}"/>
    <cellStyle name="Normal 5 2 4 2 2 2 3 2" xfId="13663" xr:uid="{DA92C91C-C785-418B-A83C-B425BA326550}"/>
    <cellStyle name="Normal 5 2 4 2 2 2 4" xfId="9445" xr:uid="{16A7755F-1F31-4800-A48C-DBC63DA9AA77}"/>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F82D9373-F9B2-404D-A14B-9139F9FD9886}"/>
    <cellStyle name="Normal 5 2 4 2 2 3 2 3" xfId="12003" xr:uid="{DB9E88A6-070F-4410-9D06-F30E8C4D5B15}"/>
    <cellStyle name="Normal 5 2 4 2 2 3 3" xfId="5634" xr:uid="{00000000-0005-0000-0000-0000DC180000}"/>
    <cellStyle name="Normal 5 2 4 2 2 3 3 2" xfId="14076" xr:uid="{E00E927C-A5F2-4ABE-89FC-9C12E8DBB31F}"/>
    <cellStyle name="Normal 5 2 4 2 2 3 4" xfId="9858" xr:uid="{639514F8-EFED-404A-8149-07E75C7D0D3C}"/>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8C9B5BC6-904B-4772-904E-AF91D4931CD1}"/>
    <cellStyle name="Normal 5 2 4 2 2 4 2 3" xfId="12416" xr:uid="{D62F19A7-A72B-4D81-BF39-0B39F585D82E}"/>
    <cellStyle name="Normal 5 2 4 2 2 4 3" xfId="6047" xr:uid="{00000000-0005-0000-0000-0000E0180000}"/>
    <cellStyle name="Normal 5 2 4 2 2 4 3 2" xfId="14489" xr:uid="{8DA776BB-309D-47AA-A9EF-16C80F04F6D4}"/>
    <cellStyle name="Normal 5 2 4 2 2 4 4" xfId="10271" xr:uid="{6C4E88AE-C258-4326-8D88-4B6EE87073B3}"/>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8DAF8737-D1F2-48F8-A2CC-3017BEF17BDC}"/>
    <cellStyle name="Normal 5 2 4 2 2 5 2 3" xfId="12829" xr:uid="{8F378AA8-06EC-4736-8287-DFC7AC7735FF}"/>
    <cellStyle name="Normal 5 2 4 2 2 5 3" xfId="6460" xr:uid="{00000000-0005-0000-0000-0000E4180000}"/>
    <cellStyle name="Normal 5 2 4 2 2 5 3 2" xfId="14902" xr:uid="{CA5AAC06-D886-42FE-A5CC-0D12A7EE28EB}"/>
    <cellStyle name="Normal 5 2 4 2 2 5 4" xfId="10684" xr:uid="{BC1B80F2-194B-4470-918C-0118223D0A27}"/>
    <cellStyle name="Normal 5 2 4 2 2 6" xfId="2589" xr:uid="{00000000-0005-0000-0000-0000E5180000}"/>
    <cellStyle name="Normal 5 2 4 2 2 6 2" xfId="6873" xr:uid="{00000000-0005-0000-0000-0000E6180000}"/>
    <cellStyle name="Normal 5 2 4 2 2 6 2 2" xfId="15315" xr:uid="{779136B5-1FE1-49A7-A208-EE1DE4A65DB3}"/>
    <cellStyle name="Normal 5 2 4 2 2 6 3" xfId="11097" xr:uid="{2139A046-31D7-4DF8-B5E5-07A85B8BCD06}"/>
    <cellStyle name="Normal 5 2 4 2 2 7" xfId="4808" xr:uid="{00000000-0005-0000-0000-0000E7180000}"/>
    <cellStyle name="Normal 5 2 4 2 2 7 2" xfId="13250" xr:uid="{6FE4EE50-7B5C-4280-9C49-913E938A9494}"/>
    <cellStyle name="Normal 5 2 4 2 2 8" xfId="9032" xr:uid="{42946800-126A-4D22-8E3E-832282013298}"/>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1C54329B-524D-47B0-952D-690BDBA88DB9}"/>
    <cellStyle name="Normal 5 2 4 2 3 2 3" xfId="11589" xr:uid="{08280184-A685-4E43-AE7E-D81A9DD852BE}"/>
    <cellStyle name="Normal 5 2 4 2 3 3" xfId="5220" xr:uid="{00000000-0005-0000-0000-0000EB180000}"/>
    <cellStyle name="Normal 5 2 4 2 3 3 2" xfId="13662" xr:uid="{F10B476A-C905-45D3-A3EB-4043337A17E4}"/>
    <cellStyle name="Normal 5 2 4 2 3 4" xfId="9444" xr:uid="{AEDA73FD-05FF-4DA6-9EC9-1875795E10C2}"/>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99FAE7C8-C5C0-4984-B441-19307A07F088}"/>
    <cellStyle name="Normal 5 2 4 2 4 2 3" xfId="12002" xr:uid="{30E013B4-057F-4AAC-A571-45D393CA052D}"/>
    <cellStyle name="Normal 5 2 4 2 4 3" xfId="5633" xr:uid="{00000000-0005-0000-0000-0000EF180000}"/>
    <cellStyle name="Normal 5 2 4 2 4 3 2" xfId="14075" xr:uid="{581849CB-B3DD-4733-9008-4A3EE69EACFB}"/>
    <cellStyle name="Normal 5 2 4 2 4 4" xfId="9857" xr:uid="{6F4C1FF4-194C-4E1D-A35E-66A24CCBB5FA}"/>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862F735A-1B87-4F3C-B307-5AFCF65746F8}"/>
    <cellStyle name="Normal 5 2 4 2 5 2 3" xfId="12415" xr:uid="{A810600B-B57E-4E91-A3D4-D15F66318B0B}"/>
    <cellStyle name="Normal 5 2 4 2 5 3" xfId="6046" xr:uid="{00000000-0005-0000-0000-0000F3180000}"/>
    <cellStyle name="Normal 5 2 4 2 5 3 2" xfId="14488" xr:uid="{A5987F10-E065-43C7-BA60-0C12736BC57B}"/>
    <cellStyle name="Normal 5 2 4 2 5 4" xfId="10270" xr:uid="{4D4C0147-CC37-4CFE-BCD0-0136EB014F4F}"/>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9B851DB7-00A7-47E4-8298-30DD99420F6D}"/>
    <cellStyle name="Normal 5 2 4 2 6 2 3" xfId="12828" xr:uid="{947B301B-5E6D-4A0C-A6DC-00E1E8CF9514}"/>
    <cellStyle name="Normal 5 2 4 2 6 3" xfId="6459" xr:uid="{00000000-0005-0000-0000-0000F7180000}"/>
    <cellStyle name="Normal 5 2 4 2 6 3 2" xfId="14901" xr:uid="{4C55ED33-F074-4571-96CF-155C2260D1E3}"/>
    <cellStyle name="Normal 5 2 4 2 6 4" xfId="10683" xr:uid="{946784D0-CF17-4FA4-88B4-A256DC4D30C2}"/>
    <cellStyle name="Normal 5 2 4 2 7" xfId="2588" xr:uid="{00000000-0005-0000-0000-0000F8180000}"/>
    <cellStyle name="Normal 5 2 4 2 7 2" xfId="6872" xr:uid="{00000000-0005-0000-0000-0000F9180000}"/>
    <cellStyle name="Normal 5 2 4 2 7 2 2" xfId="15314" xr:uid="{6C05B884-AF64-4829-9ABC-0E763A46FE99}"/>
    <cellStyle name="Normal 5 2 4 2 7 3" xfId="11096" xr:uid="{AE8DE640-90AA-446E-A652-132FFBCA5D0F}"/>
    <cellStyle name="Normal 5 2 4 2 8" xfId="4807" xr:uid="{00000000-0005-0000-0000-0000FA180000}"/>
    <cellStyle name="Normal 5 2 4 2 8 2" xfId="13249" xr:uid="{F0CE3261-E09B-4EEF-8463-6C26B986D801}"/>
    <cellStyle name="Normal 5 2 4 2 9" xfId="9031" xr:uid="{E3AEB957-F75F-4348-A43E-0FD4797684A7}"/>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8FC575DD-FAC5-48B9-A83B-15905BA32768}"/>
    <cellStyle name="Normal 5 2 4 3 2 2 3" xfId="11591" xr:uid="{9181B137-2241-44E4-91C6-346381FD1346}"/>
    <cellStyle name="Normal 5 2 4 3 2 3" xfId="5222" xr:uid="{00000000-0005-0000-0000-0000FF180000}"/>
    <cellStyle name="Normal 5 2 4 3 2 3 2" xfId="13664" xr:uid="{A39A8BCC-0842-4E59-A83F-82109712F930}"/>
    <cellStyle name="Normal 5 2 4 3 2 4" xfId="9446" xr:uid="{8466B6A1-7DE2-42F2-B603-01396DE7899F}"/>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56B75AF0-93EB-49C1-8463-F5DA1391A651}"/>
    <cellStyle name="Normal 5 2 4 3 3 2 3" xfId="12004" xr:uid="{66D67B06-8329-4C35-B88C-D594AC862031}"/>
    <cellStyle name="Normal 5 2 4 3 3 3" xfId="5635" xr:uid="{00000000-0005-0000-0000-000003190000}"/>
    <cellStyle name="Normal 5 2 4 3 3 3 2" xfId="14077" xr:uid="{9AB10DD3-E69E-4C64-B207-2BB83624A699}"/>
    <cellStyle name="Normal 5 2 4 3 3 4" xfId="9859" xr:uid="{30869BA6-F6F9-49EE-917F-9235CEBB7841}"/>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E5023D65-095C-4D8D-BEEE-0D37B9CF74AD}"/>
    <cellStyle name="Normal 5 2 4 3 4 2 3" xfId="12417" xr:uid="{E9565956-7F3C-499A-93EA-8DC68100732F}"/>
    <cellStyle name="Normal 5 2 4 3 4 3" xfId="6048" xr:uid="{00000000-0005-0000-0000-000007190000}"/>
    <cellStyle name="Normal 5 2 4 3 4 3 2" xfId="14490" xr:uid="{94960F65-ECF3-488D-8017-CC753B15C271}"/>
    <cellStyle name="Normal 5 2 4 3 4 4" xfId="10272" xr:uid="{39D7790D-CC15-4433-9E6C-6B9639915EBE}"/>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51ADD5AF-13A6-44A7-96F2-3D0C77D91B24}"/>
    <cellStyle name="Normal 5 2 4 3 5 2 3" xfId="12830" xr:uid="{B781B0BD-BE5B-4513-BFE7-72F36816C389}"/>
    <cellStyle name="Normal 5 2 4 3 5 3" xfId="6461" xr:uid="{00000000-0005-0000-0000-00000B190000}"/>
    <cellStyle name="Normal 5 2 4 3 5 3 2" xfId="14903" xr:uid="{637E85A4-C74A-4E55-B67C-33442B314021}"/>
    <cellStyle name="Normal 5 2 4 3 5 4" xfId="10685" xr:uid="{598CD1BB-CDB3-4382-AF4A-BEA777C10531}"/>
    <cellStyle name="Normal 5 2 4 3 6" xfId="2590" xr:uid="{00000000-0005-0000-0000-00000C190000}"/>
    <cellStyle name="Normal 5 2 4 3 6 2" xfId="6874" xr:uid="{00000000-0005-0000-0000-00000D190000}"/>
    <cellStyle name="Normal 5 2 4 3 6 2 2" xfId="15316" xr:uid="{D88A2D57-2ADC-46B6-8DA3-FAA8DB13DE28}"/>
    <cellStyle name="Normal 5 2 4 3 6 3" xfId="11098" xr:uid="{60D3494D-7296-417E-92D5-35DE7319BA46}"/>
    <cellStyle name="Normal 5 2 4 3 7" xfId="4809" xr:uid="{00000000-0005-0000-0000-00000E190000}"/>
    <cellStyle name="Normal 5 2 4 3 7 2" xfId="13251" xr:uid="{5304754F-BAD7-4E7E-972F-1627DE75E69F}"/>
    <cellStyle name="Normal 5 2 4 3 8" xfId="9033" xr:uid="{D938619E-8EAA-409E-A786-59A246F182DC}"/>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79BEA5FE-ADC6-4C1F-B958-71EA8D77EA8F}"/>
    <cellStyle name="Normal 5 2 4 4 2 3" xfId="11588" xr:uid="{E324257B-4D49-4BEE-AD63-F6DA1D41F5CB}"/>
    <cellStyle name="Normal 5 2 4 4 3" xfId="5219" xr:uid="{00000000-0005-0000-0000-000012190000}"/>
    <cellStyle name="Normal 5 2 4 4 3 2" xfId="13661" xr:uid="{B616665A-CF3B-4FE1-B31C-BB528AE74FDC}"/>
    <cellStyle name="Normal 5 2 4 4 4" xfId="9443" xr:uid="{B8256C4E-32EE-4B2D-8C8A-34A5EA1CA11A}"/>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940D5029-2BB0-4600-BC20-0BA38BB178A1}"/>
    <cellStyle name="Normal 5 2 4 5 2 3" xfId="12001" xr:uid="{6D2FD6B7-C315-413B-9448-CD16F5DD3332}"/>
    <cellStyle name="Normal 5 2 4 5 3" xfId="5632" xr:uid="{00000000-0005-0000-0000-000016190000}"/>
    <cellStyle name="Normal 5 2 4 5 3 2" xfId="14074" xr:uid="{0E2152B7-75A8-434E-905F-FC161B87296A}"/>
    <cellStyle name="Normal 5 2 4 5 4" xfId="9856" xr:uid="{EF3943E0-D6C6-4EE6-8B2B-596456180140}"/>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5DD1F3FE-4B80-42DE-9D0E-BF0A9EDDC93D}"/>
    <cellStyle name="Normal 5 2 4 6 2 3" xfId="12414" xr:uid="{D06AF22C-60AF-4E6F-8527-D03232CC46AB}"/>
    <cellStyle name="Normal 5 2 4 6 3" xfId="6045" xr:uid="{00000000-0005-0000-0000-00001A190000}"/>
    <cellStyle name="Normal 5 2 4 6 3 2" xfId="14487" xr:uid="{B2EF6677-6A0E-4D8B-BEC1-0380A876DBDB}"/>
    <cellStyle name="Normal 5 2 4 6 4" xfId="10269" xr:uid="{5E126824-E440-47DF-BBE5-BFFF9CE0B0F8}"/>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08AA5143-8F68-46A4-9C16-0C53B17A3699}"/>
    <cellStyle name="Normal 5 2 4 7 2 3" xfId="12827" xr:uid="{3AA461C5-19CF-49D0-A783-55FA3D4898CE}"/>
    <cellStyle name="Normal 5 2 4 7 3" xfId="6458" xr:uid="{00000000-0005-0000-0000-00001E190000}"/>
    <cellStyle name="Normal 5 2 4 7 3 2" xfId="14900" xr:uid="{A3F53A19-52D6-4A68-B844-DBC4241C229B}"/>
    <cellStyle name="Normal 5 2 4 7 4" xfId="10682" xr:uid="{D21E0E03-E552-4918-A8DB-548740E41EFA}"/>
    <cellStyle name="Normal 5 2 4 8" xfId="2587" xr:uid="{00000000-0005-0000-0000-00001F190000}"/>
    <cellStyle name="Normal 5 2 4 8 2" xfId="6871" xr:uid="{00000000-0005-0000-0000-000020190000}"/>
    <cellStyle name="Normal 5 2 4 8 2 2" xfId="15313" xr:uid="{838748C0-110F-4203-BBE9-1D29D2139B52}"/>
    <cellStyle name="Normal 5 2 4 8 3" xfId="11095" xr:uid="{BDD6E5F7-DE50-4BE0-82EE-E8A790E65164}"/>
    <cellStyle name="Normal 5 2 4 9" xfId="4806" xr:uid="{00000000-0005-0000-0000-000021190000}"/>
    <cellStyle name="Normal 5 2 4 9 2" xfId="13248" xr:uid="{784A2055-B1DA-4638-8780-6CEB539F6849}"/>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8F33296F-3192-4852-9D10-68B608835532}"/>
    <cellStyle name="Normal 5 2 5 2 2 2 3" xfId="11593" xr:uid="{33DDFF16-F9B3-4BF7-9B28-A4F2ECD3AFE6}"/>
    <cellStyle name="Normal 5 2 5 2 2 3" xfId="5224" xr:uid="{00000000-0005-0000-0000-000027190000}"/>
    <cellStyle name="Normal 5 2 5 2 2 3 2" xfId="13666" xr:uid="{6DC269B1-AB7A-4D89-82C6-BE5546B7819E}"/>
    <cellStyle name="Normal 5 2 5 2 2 4" xfId="9448" xr:uid="{CF10A73C-C553-40C1-BE10-702935F63D7A}"/>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3A8B5051-883A-43CE-A8DB-3E3627C0CD61}"/>
    <cellStyle name="Normal 5 2 5 2 3 2 3" xfId="12006" xr:uid="{F8F0841A-1124-4C2C-9F02-BEC94DB357A3}"/>
    <cellStyle name="Normal 5 2 5 2 3 3" xfId="5637" xr:uid="{00000000-0005-0000-0000-00002B190000}"/>
    <cellStyle name="Normal 5 2 5 2 3 3 2" xfId="14079" xr:uid="{222F0657-ED3A-45B8-B035-9F0F9674A6E2}"/>
    <cellStyle name="Normal 5 2 5 2 3 4" xfId="9861" xr:uid="{2E278184-6D36-4E62-B615-16DB14A36557}"/>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F0BADCD7-3BCD-496E-9861-F44495A79278}"/>
    <cellStyle name="Normal 5 2 5 2 4 2 3" xfId="12419" xr:uid="{ACFD0A7E-3C66-417B-833E-ADA6D09E30CF}"/>
    <cellStyle name="Normal 5 2 5 2 4 3" xfId="6050" xr:uid="{00000000-0005-0000-0000-00002F190000}"/>
    <cellStyle name="Normal 5 2 5 2 4 3 2" xfId="14492" xr:uid="{EB4B0FA3-3D9D-43D6-8974-9C2185552BF4}"/>
    <cellStyle name="Normal 5 2 5 2 4 4" xfId="10274" xr:uid="{F4B5CB8C-992C-45E8-B0E7-89CABC6BD60B}"/>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14DBF0CD-D7AE-45D1-BD6D-905E0C06D469}"/>
    <cellStyle name="Normal 5 2 5 2 5 2 3" xfId="12832" xr:uid="{7E78AE71-1E01-42D1-8E5D-4B12E9F1D0DB}"/>
    <cellStyle name="Normal 5 2 5 2 5 3" xfId="6463" xr:uid="{00000000-0005-0000-0000-000033190000}"/>
    <cellStyle name="Normal 5 2 5 2 5 3 2" xfId="14905" xr:uid="{BBFA17BF-9C46-4212-9DAD-FCE2881628B2}"/>
    <cellStyle name="Normal 5 2 5 2 5 4" xfId="10687" xr:uid="{DB505BA6-A84D-4619-B383-840E1EE9C19F}"/>
    <cellStyle name="Normal 5 2 5 2 6" xfId="2592" xr:uid="{00000000-0005-0000-0000-000034190000}"/>
    <cellStyle name="Normal 5 2 5 2 6 2" xfId="6876" xr:uid="{00000000-0005-0000-0000-000035190000}"/>
    <cellStyle name="Normal 5 2 5 2 6 2 2" xfId="15318" xr:uid="{CC7CBE76-411D-4008-A718-D7790A85AB3E}"/>
    <cellStyle name="Normal 5 2 5 2 6 3" xfId="11100" xr:uid="{1C44E25C-81AA-4DEF-BB5A-2BC60A478BAB}"/>
    <cellStyle name="Normal 5 2 5 2 7" xfId="4811" xr:uid="{00000000-0005-0000-0000-000036190000}"/>
    <cellStyle name="Normal 5 2 5 2 7 2" xfId="13253" xr:uid="{9F1BFF34-2408-4AB9-97E7-6D83F289A566}"/>
    <cellStyle name="Normal 5 2 5 2 8" xfId="9035" xr:uid="{670A3191-F0D5-4FAB-A1FC-9F198A141E05}"/>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FC51D010-554C-4351-B991-E9CE2CF30C02}"/>
    <cellStyle name="Normal 5 2 5 3 2 3" xfId="11592" xr:uid="{6EEE4152-D200-4A3B-A2E5-A133FD410B5F}"/>
    <cellStyle name="Normal 5 2 5 3 3" xfId="5223" xr:uid="{00000000-0005-0000-0000-00003A190000}"/>
    <cellStyle name="Normal 5 2 5 3 3 2" xfId="13665" xr:uid="{3483EC21-A2EC-4A27-B5CE-6172E33717C3}"/>
    <cellStyle name="Normal 5 2 5 3 4" xfId="9447" xr:uid="{C79FF7E5-C6DE-4BA3-BE78-4CD78477E294}"/>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BF35F6A1-39AB-44B8-AE19-E093239902D6}"/>
    <cellStyle name="Normal 5 2 5 4 2 3" xfId="12005" xr:uid="{1A03E0DE-8FE6-4E15-867A-9EE9A44601DC}"/>
    <cellStyle name="Normal 5 2 5 4 3" xfId="5636" xr:uid="{00000000-0005-0000-0000-00003E190000}"/>
    <cellStyle name="Normal 5 2 5 4 3 2" xfId="14078" xr:uid="{5DEE3EB5-4B2B-4AAD-A04A-4F76E2793D32}"/>
    <cellStyle name="Normal 5 2 5 4 4" xfId="9860" xr:uid="{85AB058D-FF56-45C8-8D86-875B35DC0E17}"/>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28B5DA52-F5B1-4884-8D50-478E02B0261C}"/>
    <cellStyle name="Normal 5 2 5 5 2 3" xfId="12418" xr:uid="{63BA4558-C95C-4E6D-AC2B-3AEA38ACA163}"/>
    <cellStyle name="Normal 5 2 5 5 3" xfId="6049" xr:uid="{00000000-0005-0000-0000-000042190000}"/>
    <cellStyle name="Normal 5 2 5 5 3 2" xfId="14491" xr:uid="{3BC2B4FF-0270-4CFE-A2DD-458BC3200BDD}"/>
    <cellStyle name="Normal 5 2 5 5 4" xfId="10273" xr:uid="{3F5FC331-5CF7-4B0F-B771-8224071240C8}"/>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C3D090A1-3167-488A-B6D2-AA0561277B72}"/>
    <cellStyle name="Normal 5 2 5 6 2 3" xfId="12831" xr:uid="{7CD2D9D5-9477-4FE7-A408-B1B78F162FCE}"/>
    <cellStyle name="Normal 5 2 5 6 3" xfId="6462" xr:uid="{00000000-0005-0000-0000-000046190000}"/>
    <cellStyle name="Normal 5 2 5 6 3 2" xfId="14904" xr:uid="{F9B6FCB9-2D7B-4164-BDC1-799F1D2C18DE}"/>
    <cellStyle name="Normal 5 2 5 6 4" xfId="10686" xr:uid="{3CA9F9C1-07D0-4BF4-9F38-2138C1A51F42}"/>
    <cellStyle name="Normal 5 2 5 7" xfId="2591" xr:uid="{00000000-0005-0000-0000-000047190000}"/>
    <cellStyle name="Normal 5 2 5 7 2" xfId="6875" xr:uid="{00000000-0005-0000-0000-000048190000}"/>
    <cellStyle name="Normal 5 2 5 7 2 2" xfId="15317" xr:uid="{BAC7433B-C21D-4478-9426-488FC6DC46B6}"/>
    <cellStyle name="Normal 5 2 5 7 3" xfId="11099" xr:uid="{C95A19FF-8D12-485C-9AAD-5323B9B9F01B}"/>
    <cellStyle name="Normal 5 2 5 8" xfId="4810" xr:uid="{00000000-0005-0000-0000-000049190000}"/>
    <cellStyle name="Normal 5 2 5 8 2" xfId="13252" xr:uid="{21FB8BF6-36E1-493B-B490-8828808129BB}"/>
    <cellStyle name="Normal 5 2 5 9" xfId="9034" xr:uid="{D1C723C0-6BB9-4DE0-9F84-9780F2104B3C}"/>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C2021B44-786E-4A8D-A5F3-6AC16EED7C29}"/>
    <cellStyle name="Normal 5 2 6 2 2 3" xfId="11594" xr:uid="{7954289E-576E-4CA2-A5C8-326DD4BB8F1C}"/>
    <cellStyle name="Normal 5 2 6 2 3" xfId="5225" xr:uid="{00000000-0005-0000-0000-00004E190000}"/>
    <cellStyle name="Normal 5 2 6 2 3 2" xfId="13667" xr:uid="{6D4932D4-8860-4BA6-BCB8-D1548B8333C6}"/>
    <cellStyle name="Normal 5 2 6 2 4" xfId="9449" xr:uid="{5AE09696-85B7-4AF2-9F05-F571F2397A70}"/>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B6867EAE-8FFF-40D0-A48C-56DAF921799F}"/>
    <cellStyle name="Normal 5 2 6 3 2 3" xfId="12007" xr:uid="{270404FF-8F7E-4CB2-98B2-9F18736BDBD6}"/>
    <cellStyle name="Normal 5 2 6 3 3" xfId="5638" xr:uid="{00000000-0005-0000-0000-000052190000}"/>
    <cellStyle name="Normal 5 2 6 3 3 2" xfId="14080" xr:uid="{E20EB01B-2999-4E88-B27D-3CD424BD6981}"/>
    <cellStyle name="Normal 5 2 6 3 4" xfId="9862" xr:uid="{E0880E28-BA89-4638-9A3C-86AE4C3E3E58}"/>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60A4E4B2-6947-4525-B0AE-07340DD513A0}"/>
    <cellStyle name="Normal 5 2 6 4 2 3" xfId="12420" xr:uid="{917CACEA-FF1E-4760-A270-9A0EAC1FC4E1}"/>
    <cellStyle name="Normal 5 2 6 4 3" xfId="6051" xr:uid="{00000000-0005-0000-0000-000056190000}"/>
    <cellStyle name="Normal 5 2 6 4 3 2" xfId="14493" xr:uid="{8B5B4E0C-70E9-4E87-8DB6-AAE335153F8E}"/>
    <cellStyle name="Normal 5 2 6 4 4" xfId="10275" xr:uid="{B042260E-17B2-430E-AD12-C87F14928794}"/>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6C85F3FC-7D0C-47CE-AEAA-1A624D25BF05}"/>
    <cellStyle name="Normal 5 2 6 5 2 3" xfId="12833" xr:uid="{3344A51C-41C8-4BF5-83D4-3AF5EEDCAC52}"/>
    <cellStyle name="Normal 5 2 6 5 3" xfId="6464" xr:uid="{00000000-0005-0000-0000-00005A190000}"/>
    <cellStyle name="Normal 5 2 6 5 3 2" xfId="14906" xr:uid="{3C87E28E-6C7C-4BBF-9B86-91CDF7DC7892}"/>
    <cellStyle name="Normal 5 2 6 5 4" xfId="10688" xr:uid="{10E0C19C-25BA-4215-BF9D-28546C1906AA}"/>
    <cellStyle name="Normal 5 2 6 6" xfId="2593" xr:uid="{00000000-0005-0000-0000-00005B190000}"/>
    <cellStyle name="Normal 5 2 6 6 2" xfId="6877" xr:uid="{00000000-0005-0000-0000-00005C190000}"/>
    <cellStyle name="Normal 5 2 6 6 2 2" xfId="15319" xr:uid="{F988C190-F77D-4EDE-B581-2B0925275E5B}"/>
    <cellStyle name="Normal 5 2 6 6 3" xfId="11101" xr:uid="{B61A7286-0634-48D0-BF03-0BD2D3BB02DD}"/>
    <cellStyle name="Normal 5 2 6 7" xfId="4812" xr:uid="{00000000-0005-0000-0000-00005D190000}"/>
    <cellStyle name="Normal 5 2 6 7 2" xfId="13254" xr:uid="{77C95899-04D1-4423-9F9A-59A50B7A6ADE}"/>
    <cellStyle name="Normal 5 2 6 8" xfId="9036" xr:uid="{07D75215-036D-4A30-B20A-1AEC06B37E72}"/>
    <cellStyle name="Normal 5 2 7" xfId="881" xr:uid="{00000000-0005-0000-0000-00005E190000}"/>
    <cellStyle name="Normal 5 2 7 2" xfId="3116" xr:uid="{00000000-0005-0000-0000-00005F190000}"/>
    <cellStyle name="Normal 5 2 7 2 2" xfId="7339" xr:uid="{00000000-0005-0000-0000-000060190000}"/>
    <cellStyle name="Normal 5 2 7 2 2 2" xfId="15781" xr:uid="{CC4FEC64-19F4-4B85-BFB4-C7ED9AEDF385}"/>
    <cellStyle name="Normal 5 2 7 2 3" xfId="11563" xr:uid="{B90A1202-EA38-4524-9040-F592B4483357}"/>
    <cellStyle name="Normal 5 2 7 3" xfId="5194" xr:uid="{00000000-0005-0000-0000-000061190000}"/>
    <cellStyle name="Normal 5 2 7 3 2" xfId="13636" xr:uid="{DFD60685-75DC-4482-BA39-C5C6400ED20A}"/>
    <cellStyle name="Normal 5 2 7 4" xfId="9418" xr:uid="{DE4B936E-5775-4BA7-8145-5AD509779E7E}"/>
    <cellStyle name="Normal 5 2 8" xfId="1299" xr:uid="{00000000-0005-0000-0000-000062190000}"/>
    <cellStyle name="Normal 5 2 8 2" xfId="3529" xr:uid="{00000000-0005-0000-0000-000063190000}"/>
    <cellStyle name="Normal 5 2 8 2 2" xfId="7752" xr:uid="{00000000-0005-0000-0000-000064190000}"/>
    <cellStyle name="Normal 5 2 8 2 2 2" xfId="16194" xr:uid="{38700B9C-4C55-4D91-BB05-7CB3C3614D37}"/>
    <cellStyle name="Normal 5 2 8 2 3" xfId="11976" xr:uid="{E789DF65-A4A5-49B9-A70B-56EB8010FC05}"/>
    <cellStyle name="Normal 5 2 8 3" xfId="5607" xr:uid="{00000000-0005-0000-0000-000065190000}"/>
    <cellStyle name="Normal 5 2 8 3 2" xfId="14049" xr:uid="{72A8243C-DC86-4000-939C-4B8DA39C61EA}"/>
    <cellStyle name="Normal 5 2 8 4" xfId="9831" xr:uid="{0028A260-5A6E-4EDF-AD33-6BCC23852EF3}"/>
    <cellStyle name="Normal 5 2 9" xfId="1712" xr:uid="{00000000-0005-0000-0000-000066190000}"/>
    <cellStyle name="Normal 5 2 9 2" xfId="3942" xr:uid="{00000000-0005-0000-0000-000067190000}"/>
    <cellStyle name="Normal 5 2 9 2 2" xfId="8165" xr:uid="{00000000-0005-0000-0000-000068190000}"/>
    <cellStyle name="Normal 5 2 9 2 2 2" xfId="16607" xr:uid="{8D14E6E5-22B1-401F-B929-DD3492123A57}"/>
    <cellStyle name="Normal 5 2 9 2 3" xfId="12389" xr:uid="{0DFA69F0-AEC8-4060-ACF7-93C9F4D36252}"/>
    <cellStyle name="Normal 5 2 9 3" xfId="6020" xr:uid="{00000000-0005-0000-0000-000069190000}"/>
    <cellStyle name="Normal 5 2 9 3 2" xfId="14462" xr:uid="{3492E545-9DCF-4672-9AAA-9046B55FEFF7}"/>
    <cellStyle name="Normal 5 2 9 4" xfId="10244" xr:uid="{6891A0C1-5473-4BED-B9FA-C95003A6BC63}"/>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9EB5E217-82F6-4830-8EE6-7FDDD6B8A9D3}"/>
    <cellStyle name="Normal 5 3 10 2 3" xfId="12834" xr:uid="{53401529-BC95-441C-868E-FBE3BF407D33}"/>
    <cellStyle name="Normal 5 3 10 3" xfId="6465" xr:uid="{00000000-0005-0000-0000-00006E190000}"/>
    <cellStyle name="Normal 5 3 10 3 2" xfId="14907" xr:uid="{5CAAC1A7-5752-4E21-A61F-80FC791068D2}"/>
    <cellStyle name="Normal 5 3 10 4" xfId="10689" xr:uid="{B3A965ED-D7CD-424D-9F94-D54E45E5248B}"/>
    <cellStyle name="Normal 5 3 11" xfId="2594" xr:uid="{00000000-0005-0000-0000-00006F190000}"/>
    <cellStyle name="Normal 5 3 11 2" xfId="6878" xr:uid="{00000000-0005-0000-0000-000070190000}"/>
    <cellStyle name="Normal 5 3 11 2 2" xfId="15320" xr:uid="{DF60A8FA-B5A1-4956-888F-520C92B94173}"/>
    <cellStyle name="Normal 5 3 11 3" xfId="11102" xr:uid="{BC25B2DE-57E2-417C-8847-E12AB9758688}"/>
    <cellStyle name="Normal 5 3 12" xfId="4813" xr:uid="{00000000-0005-0000-0000-000071190000}"/>
    <cellStyle name="Normal 5 3 12 2" xfId="13255" xr:uid="{364092A9-33ED-4FCD-B65D-A46F35AE71F8}"/>
    <cellStyle name="Normal 5 3 13" xfId="9037" xr:uid="{6C454842-C600-48B8-83B7-000997DB6D43}"/>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0A1B0DEE-807A-43B8-A99A-AB09F96E3C5F}"/>
    <cellStyle name="Normal 5 3 3 11" xfId="9038" xr:uid="{E9AB1FD4-AC05-4AAC-8C7B-39F0A1E2A871}"/>
    <cellStyle name="Normal 5 3 3 2" xfId="442" xr:uid="{00000000-0005-0000-0000-000076190000}"/>
    <cellStyle name="Normal 5 3 3 2 10" xfId="9039" xr:uid="{4CE67A7F-6C8E-4583-84FD-6CAFFDF31743}"/>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E1A33B66-140E-4322-AD88-CA2B1CC4D60F}"/>
    <cellStyle name="Normal 5 3 3 2 2 2 2 2 3" xfId="11599" xr:uid="{D4E4A2AB-605C-4C12-BB4B-D1EAF70CDBBB}"/>
    <cellStyle name="Normal 5 3 3 2 2 2 2 3" xfId="5230" xr:uid="{00000000-0005-0000-0000-00007C190000}"/>
    <cellStyle name="Normal 5 3 3 2 2 2 2 3 2" xfId="13672" xr:uid="{417CE9A9-10D8-4C1F-B04F-B92540D20095}"/>
    <cellStyle name="Normal 5 3 3 2 2 2 2 4" xfId="9454" xr:uid="{59428955-997C-4177-8F95-699FFDD1E843}"/>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38A92619-4574-4D42-899B-7D4544A881E0}"/>
    <cellStyle name="Normal 5 3 3 2 2 2 3 2 3" xfId="12012" xr:uid="{D2B2BAAC-FA28-4AD2-B361-4C98C4D11CA4}"/>
    <cellStyle name="Normal 5 3 3 2 2 2 3 3" xfId="5643" xr:uid="{00000000-0005-0000-0000-000080190000}"/>
    <cellStyle name="Normal 5 3 3 2 2 2 3 3 2" xfId="14085" xr:uid="{644A0571-BF46-4F9D-84AB-3BD0FE110D3B}"/>
    <cellStyle name="Normal 5 3 3 2 2 2 3 4" xfId="9867" xr:uid="{DD355948-0BD8-4402-8D09-1012828C7DFC}"/>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BCD4FA63-BD34-49A1-8E2E-1E5B771E6468}"/>
    <cellStyle name="Normal 5 3 3 2 2 2 4 2 3" xfId="12425" xr:uid="{647A066B-A788-4F91-B550-B7C16F7287FC}"/>
    <cellStyle name="Normal 5 3 3 2 2 2 4 3" xfId="6056" xr:uid="{00000000-0005-0000-0000-000084190000}"/>
    <cellStyle name="Normal 5 3 3 2 2 2 4 3 2" xfId="14498" xr:uid="{3A8964C1-4EEB-4D72-B1E9-2A375DB7011A}"/>
    <cellStyle name="Normal 5 3 3 2 2 2 4 4" xfId="10280" xr:uid="{681721B1-54DB-4569-9B21-E5A630703257}"/>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8B224D3B-0E4B-422E-9D83-86B1E0841FEF}"/>
    <cellStyle name="Normal 5 3 3 2 2 2 5 2 3" xfId="12838" xr:uid="{C2FDFF34-EB30-42BD-B798-2A2F9B4676FC}"/>
    <cellStyle name="Normal 5 3 3 2 2 2 5 3" xfId="6469" xr:uid="{00000000-0005-0000-0000-000088190000}"/>
    <cellStyle name="Normal 5 3 3 2 2 2 5 3 2" xfId="14911" xr:uid="{F6F60D31-5D36-45AF-929A-2AED244F605F}"/>
    <cellStyle name="Normal 5 3 3 2 2 2 5 4" xfId="10693" xr:uid="{D7F267C8-7621-4936-8955-6226652D709A}"/>
    <cellStyle name="Normal 5 3 3 2 2 2 6" xfId="2598" xr:uid="{00000000-0005-0000-0000-000089190000}"/>
    <cellStyle name="Normal 5 3 3 2 2 2 6 2" xfId="6882" xr:uid="{00000000-0005-0000-0000-00008A190000}"/>
    <cellStyle name="Normal 5 3 3 2 2 2 6 2 2" xfId="15324" xr:uid="{C64D9512-53AA-4E1D-B587-018F2D4BF499}"/>
    <cellStyle name="Normal 5 3 3 2 2 2 6 3" xfId="11106" xr:uid="{D655EE86-FFE4-40FF-9056-FFDE543B9633}"/>
    <cellStyle name="Normal 5 3 3 2 2 2 7" xfId="4817" xr:uid="{00000000-0005-0000-0000-00008B190000}"/>
    <cellStyle name="Normal 5 3 3 2 2 2 7 2" xfId="13259" xr:uid="{0AB322FE-BC6F-4517-93D6-9C54B13D9198}"/>
    <cellStyle name="Normal 5 3 3 2 2 2 8" xfId="9041" xr:uid="{769486D2-32B5-4A7E-BC09-0E1698541762}"/>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0B624C9E-A69E-4294-B58F-AFB624DAC04F}"/>
    <cellStyle name="Normal 5 3 3 2 2 3 2 3" xfId="11598" xr:uid="{9C3B7A58-298E-48D1-93C5-A4BDCB953A03}"/>
    <cellStyle name="Normal 5 3 3 2 2 3 3" xfId="5229" xr:uid="{00000000-0005-0000-0000-00008F190000}"/>
    <cellStyle name="Normal 5 3 3 2 2 3 3 2" xfId="13671" xr:uid="{DBEECA02-D518-4219-9073-CF4589B8C90D}"/>
    <cellStyle name="Normal 5 3 3 2 2 3 4" xfId="9453" xr:uid="{55B2FA27-801D-4CC0-81A0-B0B9E3391B2F}"/>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8306C462-D603-4415-87A7-AFE07245875A}"/>
    <cellStyle name="Normal 5 3 3 2 2 4 2 3" xfId="12011" xr:uid="{903B9E5E-6A5F-4411-984C-1FFBC4233FA7}"/>
    <cellStyle name="Normal 5 3 3 2 2 4 3" xfId="5642" xr:uid="{00000000-0005-0000-0000-000093190000}"/>
    <cellStyle name="Normal 5 3 3 2 2 4 3 2" xfId="14084" xr:uid="{FC36569A-7711-413C-90F9-48726515A171}"/>
    <cellStyle name="Normal 5 3 3 2 2 4 4" xfId="9866" xr:uid="{506D5998-4D1F-481A-84C0-D0F4A15F7964}"/>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DAEE78A4-B867-48C3-BBB7-97E8F4B7E641}"/>
    <cellStyle name="Normal 5 3 3 2 2 5 2 3" xfId="12424" xr:uid="{F707446C-DF71-48D6-A928-B11FF2742189}"/>
    <cellStyle name="Normal 5 3 3 2 2 5 3" xfId="6055" xr:uid="{00000000-0005-0000-0000-000097190000}"/>
    <cellStyle name="Normal 5 3 3 2 2 5 3 2" xfId="14497" xr:uid="{1110DE55-F24B-4AC0-BCD2-450316E2D77F}"/>
    <cellStyle name="Normal 5 3 3 2 2 5 4" xfId="10279" xr:uid="{8C9DB5D6-95F7-49F7-9FA4-8C85ECB85938}"/>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7D1AC781-BAB7-465A-8A54-BD62C4AD291E}"/>
    <cellStyle name="Normal 5 3 3 2 2 6 2 3" xfId="12837" xr:uid="{E7E28045-A117-4366-BE65-CE451CE5C423}"/>
    <cellStyle name="Normal 5 3 3 2 2 6 3" xfId="6468" xr:uid="{00000000-0005-0000-0000-00009B190000}"/>
    <cellStyle name="Normal 5 3 3 2 2 6 3 2" xfId="14910" xr:uid="{F5259EBC-6215-450F-AB7D-18B5841DD9EC}"/>
    <cellStyle name="Normal 5 3 3 2 2 6 4" xfId="10692" xr:uid="{D37718B1-CADD-4292-A3CB-058E47FE90DA}"/>
    <cellStyle name="Normal 5 3 3 2 2 7" xfId="2597" xr:uid="{00000000-0005-0000-0000-00009C190000}"/>
    <cellStyle name="Normal 5 3 3 2 2 7 2" xfId="6881" xr:uid="{00000000-0005-0000-0000-00009D190000}"/>
    <cellStyle name="Normal 5 3 3 2 2 7 2 2" xfId="15323" xr:uid="{B39E4E52-7F66-4DAB-8138-8EA3141CE4E0}"/>
    <cellStyle name="Normal 5 3 3 2 2 7 3" xfId="11105" xr:uid="{4F8A3A41-C334-43A6-B1BD-1EB42C800252}"/>
    <cellStyle name="Normal 5 3 3 2 2 8" xfId="4816" xr:uid="{00000000-0005-0000-0000-00009E190000}"/>
    <cellStyle name="Normal 5 3 3 2 2 8 2" xfId="13258" xr:uid="{15A7D770-869A-4F76-99C9-3A708620DA9C}"/>
    <cellStyle name="Normal 5 3 3 2 2 9" xfId="9040" xr:uid="{1345601E-B51F-4215-8A20-7E8195BA0EC9}"/>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10033118-81AB-4D44-A237-BC6D2417FB0E}"/>
    <cellStyle name="Normal 5 3 3 2 3 2 2 3" xfId="11600" xr:uid="{EF207414-B559-4D8B-BA33-5273C5FA73A7}"/>
    <cellStyle name="Normal 5 3 3 2 3 2 3" xfId="5231" xr:uid="{00000000-0005-0000-0000-0000A3190000}"/>
    <cellStyle name="Normal 5 3 3 2 3 2 3 2" xfId="13673" xr:uid="{5231F2C7-F868-4DCF-BA05-AECA19E56327}"/>
    <cellStyle name="Normal 5 3 3 2 3 2 4" xfId="9455" xr:uid="{CCE0DE4E-1E41-47A1-8566-112C7639595D}"/>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E49C30C3-CD18-4240-8C88-91427FB64AB9}"/>
    <cellStyle name="Normal 5 3 3 2 3 3 2 3" xfId="12013" xr:uid="{863BAB6A-4519-4205-B367-6489AC719FD1}"/>
    <cellStyle name="Normal 5 3 3 2 3 3 3" xfId="5644" xr:uid="{00000000-0005-0000-0000-0000A7190000}"/>
    <cellStyle name="Normal 5 3 3 2 3 3 3 2" xfId="14086" xr:uid="{79183AB8-958E-4FD1-A730-7F7BF126419F}"/>
    <cellStyle name="Normal 5 3 3 2 3 3 4" xfId="9868" xr:uid="{A197E7C5-D16D-4C95-B5DF-112585599D72}"/>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B0360CD4-6503-476D-83EB-2135B7FDDFA4}"/>
    <cellStyle name="Normal 5 3 3 2 3 4 2 3" xfId="12426" xr:uid="{E26B8F42-2BD8-44F1-92FE-E28D94A91023}"/>
    <cellStyle name="Normal 5 3 3 2 3 4 3" xfId="6057" xr:uid="{00000000-0005-0000-0000-0000AB190000}"/>
    <cellStyle name="Normal 5 3 3 2 3 4 3 2" xfId="14499" xr:uid="{D3696683-64E6-4061-AB78-42148E16DFA9}"/>
    <cellStyle name="Normal 5 3 3 2 3 4 4" xfId="10281" xr:uid="{5B66337A-E68E-401C-AD63-32DC95EB57D3}"/>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F05E2FFC-C707-4751-AAF6-1AEBFC0E9C35}"/>
    <cellStyle name="Normal 5 3 3 2 3 5 2 3" xfId="12839" xr:uid="{0EC5872D-1CFE-42CF-9BA1-00100FB75980}"/>
    <cellStyle name="Normal 5 3 3 2 3 5 3" xfId="6470" xr:uid="{00000000-0005-0000-0000-0000AF190000}"/>
    <cellStyle name="Normal 5 3 3 2 3 5 3 2" xfId="14912" xr:uid="{BBFC69FF-84EC-42B1-94EE-38D1EEA9903E}"/>
    <cellStyle name="Normal 5 3 3 2 3 5 4" xfId="10694" xr:uid="{4D531671-55A2-49FF-BDF2-9B96EFA3CC31}"/>
    <cellStyle name="Normal 5 3 3 2 3 6" xfId="2599" xr:uid="{00000000-0005-0000-0000-0000B0190000}"/>
    <cellStyle name="Normal 5 3 3 2 3 6 2" xfId="6883" xr:uid="{00000000-0005-0000-0000-0000B1190000}"/>
    <cellStyle name="Normal 5 3 3 2 3 6 2 2" xfId="15325" xr:uid="{10DE1636-0480-4A1E-B4CC-DB287BBCB64D}"/>
    <cellStyle name="Normal 5 3 3 2 3 6 3" xfId="11107" xr:uid="{318B911A-47AE-4CBF-8F09-B339D7A2B589}"/>
    <cellStyle name="Normal 5 3 3 2 3 7" xfId="4818" xr:uid="{00000000-0005-0000-0000-0000B2190000}"/>
    <cellStyle name="Normal 5 3 3 2 3 7 2" xfId="13260" xr:uid="{BB339819-369A-40AB-A1BE-9B565155E323}"/>
    <cellStyle name="Normal 5 3 3 2 3 8" xfId="9042" xr:uid="{B754185D-3BD5-4D4B-BE89-C91DF804C98B}"/>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04C42B28-2C5C-4F78-8418-80E72C12A529}"/>
    <cellStyle name="Normal 5 3 3 2 4 2 3" xfId="11597" xr:uid="{D127B342-F3EB-4708-BF38-5E9B8362ED0D}"/>
    <cellStyle name="Normal 5 3 3 2 4 3" xfId="5228" xr:uid="{00000000-0005-0000-0000-0000B6190000}"/>
    <cellStyle name="Normal 5 3 3 2 4 3 2" xfId="13670" xr:uid="{A3F7FEAA-1859-4C90-99E3-B0F29B68C979}"/>
    <cellStyle name="Normal 5 3 3 2 4 4" xfId="9452" xr:uid="{E18F062E-B323-4C75-B9D4-5D12E550B1AB}"/>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69ABDF85-217C-4395-BF1C-D0A271FAAE7C}"/>
    <cellStyle name="Normal 5 3 3 2 5 2 3" xfId="12010" xr:uid="{D97A6362-4CE3-4054-BA02-256988B1E1EB}"/>
    <cellStyle name="Normal 5 3 3 2 5 3" xfId="5641" xr:uid="{00000000-0005-0000-0000-0000BA190000}"/>
    <cellStyle name="Normal 5 3 3 2 5 3 2" xfId="14083" xr:uid="{DF9D0D36-BC03-48D3-B3D6-CB3B924FF123}"/>
    <cellStyle name="Normal 5 3 3 2 5 4" xfId="9865" xr:uid="{5F55D7A4-8CCC-428F-AA7E-E6550CAA0FEB}"/>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8FE808B0-BD06-4D6F-B06A-88DBBCF29026}"/>
    <cellStyle name="Normal 5 3 3 2 6 2 3" xfId="12423" xr:uid="{8ECFB527-4BD4-4533-9A1D-4F7872F7EB12}"/>
    <cellStyle name="Normal 5 3 3 2 6 3" xfId="6054" xr:uid="{00000000-0005-0000-0000-0000BE190000}"/>
    <cellStyle name="Normal 5 3 3 2 6 3 2" xfId="14496" xr:uid="{3D1C2036-C4D9-44B1-9535-C7DA9F2C897E}"/>
    <cellStyle name="Normal 5 3 3 2 6 4" xfId="10278" xr:uid="{7C8BB2C6-3AFD-44D1-979A-30774F9B3B84}"/>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CF20B49A-7BBC-4FC1-9D45-3778BFD33077}"/>
    <cellStyle name="Normal 5 3 3 2 7 2 3" xfId="12836" xr:uid="{D257F919-6DF3-47BE-BE7D-96BD826175C1}"/>
    <cellStyle name="Normal 5 3 3 2 7 3" xfId="6467" xr:uid="{00000000-0005-0000-0000-0000C2190000}"/>
    <cellStyle name="Normal 5 3 3 2 7 3 2" xfId="14909" xr:uid="{E61A7AF1-7120-4B21-8E73-904F742B24E9}"/>
    <cellStyle name="Normal 5 3 3 2 7 4" xfId="10691" xr:uid="{7C12CFC5-F27F-4821-B89E-47945E44EFAC}"/>
    <cellStyle name="Normal 5 3 3 2 8" xfId="2596" xr:uid="{00000000-0005-0000-0000-0000C3190000}"/>
    <cellStyle name="Normal 5 3 3 2 8 2" xfId="6880" xr:uid="{00000000-0005-0000-0000-0000C4190000}"/>
    <cellStyle name="Normal 5 3 3 2 8 2 2" xfId="15322" xr:uid="{8BDBE1E5-A32D-4BDF-9AA9-EF4DBDDF7056}"/>
    <cellStyle name="Normal 5 3 3 2 8 3" xfId="11104" xr:uid="{473C03C9-D7D8-4AE2-B96D-D99DFAF1730D}"/>
    <cellStyle name="Normal 5 3 3 2 9" xfId="4815" xr:uid="{00000000-0005-0000-0000-0000C5190000}"/>
    <cellStyle name="Normal 5 3 3 2 9 2" xfId="13257" xr:uid="{77FF605A-5B1E-475B-926A-5C9790EA76E8}"/>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B97987AA-4AE4-4EB9-BB83-27DC6D26B9AD}"/>
    <cellStyle name="Normal 5 3 3 3 2 2 2 3" xfId="11602" xr:uid="{FEEC4B2D-D0BA-464A-9F57-EA9520233A35}"/>
    <cellStyle name="Normal 5 3 3 3 2 2 3" xfId="5233" xr:uid="{00000000-0005-0000-0000-0000CB190000}"/>
    <cellStyle name="Normal 5 3 3 3 2 2 3 2" xfId="13675" xr:uid="{C1F5CE03-0241-45D5-B903-9A147B91F344}"/>
    <cellStyle name="Normal 5 3 3 3 2 2 4" xfId="9457" xr:uid="{EFD4A326-2971-43BD-B233-97B9FDE7662E}"/>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F3691418-D1CC-4AC5-8B5A-F4ADC39D2BFD}"/>
    <cellStyle name="Normal 5 3 3 3 2 3 2 3" xfId="12015" xr:uid="{AA61F5B1-54A8-4515-A775-E7121344E24B}"/>
    <cellStyle name="Normal 5 3 3 3 2 3 3" xfId="5646" xr:uid="{00000000-0005-0000-0000-0000CF190000}"/>
    <cellStyle name="Normal 5 3 3 3 2 3 3 2" xfId="14088" xr:uid="{A790D2AA-9E05-47CC-8C2D-9F77464C252D}"/>
    <cellStyle name="Normal 5 3 3 3 2 3 4" xfId="9870" xr:uid="{701DA498-980D-4380-BF56-7804E3823CB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C19FCD69-75EE-4676-9BB0-914D707317AF}"/>
    <cellStyle name="Normal 5 3 3 3 2 4 2 3" xfId="12428" xr:uid="{C14E203F-FD78-4445-B5F2-FB6BACBBD690}"/>
    <cellStyle name="Normal 5 3 3 3 2 4 3" xfId="6059" xr:uid="{00000000-0005-0000-0000-0000D3190000}"/>
    <cellStyle name="Normal 5 3 3 3 2 4 3 2" xfId="14501" xr:uid="{8F939FBF-EE23-42DE-B1B9-D18E31496D1C}"/>
    <cellStyle name="Normal 5 3 3 3 2 4 4" xfId="10283" xr:uid="{B0991C4C-5952-4B3A-85D6-5FEAA243E997}"/>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A0271071-2F69-4023-B620-BECE327B8A43}"/>
    <cellStyle name="Normal 5 3 3 3 2 5 2 3" xfId="12841" xr:uid="{D4C028C1-C245-40C7-A8BC-81E7DB4D73CE}"/>
    <cellStyle name="Normal 5 3 3 3 2 5 3" xfId="6472" xr:uid="{00000000-0005-0000-0000-0000D7190000}"/>
    <cellStyle name="Normal 5 3 3 3 2 5 3 2" xfId="14914" xr:uid="{CD949E34-59A6-43A7-9177-08AC32BB3E4F}"/>
    <cellStyle name="Normal 5 3 3 3 2 5 4" xfId="10696" xr:uid="{F1F6DFD4-A059-45BC-94F6-ADC38ABDD5D0}"/>
    <cellStyle name="Normal 5 3 3 3 2 6" xfId="2601" xr:uid="{00000000-0005-0000-0000-0000D8190000}"/>
    <cellStyle name="Normal 5 3 3 3 2 6 2" xfId="6885" xr:uid="{00000000-0005-0000-0000-0000D9190000}"/>
    <cellStyle name="Normal 5 3 3 3 2 6 2 2" xfId="15327" xr:uid="{73922FF2-D7C1-4DF3-9322-FC4524173377}"/>
    <cellStyle name="Normal 5 3 3 3 2 6 3" xfId="11109" xr:uid="{881FBE3E-4D45-4634-B3C9-626A8C3D3394}"/>
    <cellStyle name="Normal 5 3 3 3 2 7" xfId="4820" xr:uid="{00000000-0005-0000-0000-0000DA190000}"/>
    <cellStyle name="Normal 5 3 3 3 2 7 2" xfId="13262" xr:uid="{D56348F5-B5D1-4367-B641-541CB880D8F1}"/>
    <cellStyle name="Normal 5 3 3 3 2 8" xfId="9044" xr:uid="{E67CBBC4-8963-495C-AAE5-20C308F985F4}"/>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6FBA7B9A-2F8B-4DA1-9E11-6A0DF366926A}"/>
    <cellStyle name="Normal 5 3 3 3 3 2 3" xfId="11601" xr:uid="{F9A661BE-16BC-44B7-B147-1E3AF0693636}"/>
    <cellStyle name="Normal 5 3 3 3 3 3" xfId="5232" xr:uid="{00000000-0005-0000-0000-0000DE190000}"/>
    <cellStyle name="Normal 5 3 3 3 3 3 2" xfId="13674" xr:uid="{7A7CB66C-7F76-4D91-930D-F5E6E1E24A2C}"/>
    <cellStyle name="Normal 5 3 3 3 3 4" xfId="9456" xr:uid="{80A02C79-C558-424F-BE81-5C8931A7FCF6}"/>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EE49DF4B-3420-4F7E-AB0E-4EF949A9852D}"/>
    <cellStyle name="Normal 5 3 3 3 4 2 3" xfId="12014" xr:uid="{8265D57D-EFEF-4753-A012-DA50FD40CEEC}"/>
    <cellStyle name="Normal 5 3 3 3 4 3" xfId="5645" xr:uid="{00000000-0005-0000-0000-0000E2190000}"/>
    <cellStyle name="Normal 5 3 3 3 4 3 2" xfId="14087" xr:uid="{CF270EEF-9864-4D8E-8034-C349B20AA028}"/>
    <cellStyle name="Normal 5 3 3 3 4 4" xfId="9869" xr:uid="{1876C004-9782-4724-BE2F-017D62BDB213}"/>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CA0F051C-E3E7-4076-AB3B-34646634FAA7}"/>
    <cellStyle name="Normal 5 3 3 3 5 2 3" xfId="12427" xr:uid="{68196DFB-F885-4117-B5A8-6B9D194740DC}"/>
    <cellStyle name="Normal 5 3 3 3 5 3" xfId="6058" xr:uid="{00000000-0005-0000-0000-0000E6190000}"/>
    <cellStyle name="Normal 5 3 3 3 5 3 2" xfId="14500" xr:uid="{9529028F-A101-4C9E-B611-E06058FB0DE5}"/>
    <cellStyle name="Normal 5 3 3 3 5 4" xfId="10282" xr:uid="{ECA51044-3500-48B0-9A79-EB61CB13733D}"/>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1F720358-3D13-41B2-8EA6-AD94A6D622BF}"/>
    <cellStyle name="Normal 5 3 3 3 6 2 3" xfId="12840" xr:uid="{041B710F-E3AD-4154-9237-F1DC5457CBE5}"/>
    <cellStyle name="Normal 5 3 3 3 6 3" xfId="6471" xr:uid="{00000000-0005-0000-0000-0000EA190000}"/>
    <cellStyle name="Normal 5 3 3 3 6 3 2" xfId="14913" xr:uid="{E684DA33-038B-42E2-8356-7537C7A85490}"/>
    <cellStyle name="Normal 5 3 3 3 6 4" xfId="10695" xr:uid="{88AF4711-74DD-42FF-84CB-3771843F3E37}"/>
    <cellStyle name="Normal 5 3 3 3 7" xfId="2600" xr:uid="{00000000-0005-0000-0000-0000EB190000}"/>
    <cellStyle name="Normal 5 3 3 3 7 2" xfId="6884" xr:uid="{00000000-0005-0000-0000-0000EC190000}"/>
    <cellStyle name="Normal 5 3 3 3 7 2 2" xfId="15326" xr:uid="{22875349-1F07-4113-985B-31D12A8542DE}"/>
    <cellStyle name="Normal 5 3 3 3 7 3" xfId="11108" xr:uid="{30F24A4B-27EE-4FB4-A64A-1849246CE144}"/>
    <cellStyle name="Normal 5 3 3 3 8" xfId="4819" xr:uid="{00000000-0005-0000-0000-0000ED190000}"/>
    <cellStyle name="Normal 5 3 3 3 8 2" xfId="13261" xr:uid="{012D5863-DFDE-40F3-830D-119C85A7BD73}"/>
    <cellStyle name="Normal 5 3 3 3 9" xfId="9043" xr:uid="{54E4F456-0A6F-4316-A94D-243068F5AA26}"/>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8DBFF0DC-74C7-468E-8233-F0AC19E12170}"/>
    <cellStyle name="Normal 5 3 3 4 2 2 3" xfId="11603" xr:uid="{4A520E72-FD16-43A1-99B6-9BD484599F5A}"/>
    <cellStyle name="Normal 5 3 3 4 2 3" xfId="5234" xr:uid="{00000000-0005-0000-0000-0000F2190000}"/>
    <cellStyle name="Normal 5 3 3 4 2 3 2" xfId="13676" xr:uid="{C5C5D70E-2AF2-4A38-9BED-0470530C5C95}"/>
    <cellStyle name="Normal 5 3 3 4 2 4" xfId="9458" xr:uid="{06ECFF87-9838-48A9-B70F-5523B5D5C839}"/>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AC826660-104C-461A-B2E7-75450426779F}"/>
    <cellStyle name="Normal 5 3 3 4 3 2 3" xfId="12016" xr:uid="{7A87C0E1-6CC8-4DB5-A034-F346948DF2BB}"/>
    <cellStyle name="Normal 5 3 3 4 3 3" xfId="5647" xr:uid="{00000000-0005-0000-0000-0000F6190000}"/>
    <cellStyle name="Normal 5 3 3 4 3 3 2" xfId="14089" xr:uid="{687DE0AB-5AD3-472E-A6D8-2970F1DA314D}"/>
    <cellStyle name="Normal 5 3 3 4 3 4" xfId="9871" xr:uid="{6922B645-F5FB-4B4A-9C1B-6F5D0C7377C7}"/>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1F9E6CCB-05CA-4085-A45C-21EE4DA50483}"/>
    <cellStyle name="Normal 5 3 3 4 4 2 3" xfId="12429" xr:uid="{780903D3-D7D0-4200-9813-32AA4BED6D9E}"/>
    <cellStyle name="Normal 5 3 3 4 4 3" xfId="6060" xr:uid="{00000000-0005-0000-0000-0000FA190000}"/>
    <cellStyle name="Normal 5 3 3 4 4 3 2" xfId="14502" xr:uid="{5C920E79-EEF1-4907-BF95-C2DDF637C5E4}"/>
    <cellStyle name="Normal 5 3 3 4 4 4" xfId="10284" xr:uid="{1603193B-8AD0-4F35-8103-54A00E4AE4A4}"/>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306AE8B6-D020-47F2-AFDF-E974C5197E38}"/>
    <cellStyle name="Normal 5 3 3 4 5 2 3" xfId="12842" xr:uid="{2E270BAF-A36B-4906-91CB-322A15598538}"/>
    <cellStyle name="Normal 5 3 3 4 5 3" xfId="6473" xr:uid="{00000000-0005-0000-0000-0000FE190000}"/>
    <cellStyle name="Normal 5 3 3 4 5 3 2" xfId="14915" xr:uid="{FACCAA4C-FD76-4900-928B-701C74F4B652}"/>
    <cellStyle name="Normal 5 3 3 4 5 4" xfId="10697" xr:uid="{70DA1D76-2CDD-4017-8632-A126F9737D3F}"/>
    <cellStyle name="Normal 5 3 3 4 6" xfId="2602" xr:uid="{00000000-0005-0000-0000-0000FF190000}"/>
    <cellStyle name="Normal 5 3 3 4 6 2" xfId="6886" xr:uid="{00000000-0005-0000-0000-0000001A0000}"/>
    <cellStyle name="Normal 5 3 3 4 6 2 2" xfId="15328" xr:uid="{8B798FF6-5579-4A27-B229-B64A69846753}"/>
    <cellStyle name="Normal 5 3 3 4 6 3" xfId="11110" xr:uid="{7DCAAB2E-4BEA-4726-B5A9-3D76334B91EE}"/>
    <cellStyle name="Normal 5 3 3 4 7" xfId="4821" xr:uid="{00000000-0005-0000-0000-0000011A0000}"/>
    <cellStyle name="Normal 5 3 3 4 7 2" xfId="13263" xr:uid="{50C13A8C-976F-4AE3-B049-75CC4B51AC31}"/>
    <cellStyle name="Normal 5 3 3 4 8" xfId="9045" xr:uid="{A5E9D4F7-B81D-45A2-BFC2-7C4F4751714E}"/>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378D8F2A-AAC7-43D7-86A1-B535797AF2AC}"/>
    <cellStyle name="Normal 5 3 3 5 2 3" xfId="11596" xr:uid="{29BC8953-01A3-4A32-9D70-16C0A499A866}"/>
    <cellStyle name="Normal 5 3 3 5 3" xfId="5227" xr:uid="{00000000-0005-0000-0000-0000051A0000}"/>
    <cellStyle name="Normal 5 3 3 5 3 2" xfId="13669" xr:uid="{B044E909-F17B-4CA3-B169-CD98C9F7B5F4}"/>
    <cellStyle name="Normal 5 3 3 5 4" xfId="9451" xr:uid="{78244811-0A25-4304-9516-4D557F8658B0}"/>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78201318-3F68-4F7F-949F-E8FBF8EB7900}"/>
    <cellStyle name="Normal 5 3 3 6 2 3" xfId="12009" xr:uid="{6BFD54CF-FE68-460B-A5A4-B2820454E5E0}"/>
    <cellStyle name="Normal 5 3 3 6 3" xfId="5640" xr:uid="{00000000-0005-0000-0000-0000091A0000}"/>
    <cellStyle name="Normal 5 3 3 6 3 2" xfId="14082" xr:uid="{901B68CE-1E9E-4929-BE69-0C96FB3AA66E}"/>
    <cellStyle name="Normal 5 3 3 6 4" xfId="9864" xr:uid="{726DE04E-1C1E-4F0A-93D6-3791A374E663}"/>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4AB81E35-2CBC-48AF-940A-24F3B0973214}"/>
    <cellStyle name="Normal 5 3 3 7 2 3" xfId="12422" xr:uid="{72DA0972-F4C7-4CC9-869E-4BA0DC79E19E}"/>
    <cellStyle name="Normal 5 3 3 7 3" xfId="6053" xr:uid="{00000000-0005-0000-0000-00000D1A0000}"/>
    <cellStyle name="Normal 5 3 3 7 3 2" xfId="14495" xr:uid="{EEC9B4C3-DA27-4E96-8709-67AF14A66EB8}"/>
    <cellStyle name="Normal 5 3 3 7 4" xfId="10277" xr:uid="{38815812-AE7F-4A88-86FA-827B1DAEDEEA}"/>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A56637C6-DCEF-4797-84D2-E234994B8F26}"/>
    <cellStyle name="Normal 5 3 3 8 2 3" xfId="12835" xr:uid="{AE99CB48-2846-4B00-B1B6-0FD489ECD535}"/>
    <cellStyle name="Normal 5 3 3 8 3" xfId="6466" xr:uid="{00000000-0005-0000-0000-0000111A0000}"/>
    <cellStyle name="Normal 5 3 3 8 3 2" xfId="14908" xr:uid="{57AFD8F4-33FA-4D05-9A7D-9B6E69BE9DEB}"/>
    <cellStyle name="Normal 5 3 3 8 4" xfId="10690" xr:uid="{E5D2588B-E007-4157-8544-0E02E0E567B0}"/>
    <cellStyle name="Normal 5 3 3 9" xfId="2595" xr:uid="{00000000-0005-0000-0000-0000121A0000}"/>
    <cellStyle name="Normal 5 3 3 9 2" xfId="6879" xr:uid="{00000000-0005-0000-0000-0000131A0000}"/>
    <cellStyle name="Normal 5 3 3 9 2 2" xfId="15321" xr:uid="{CD418B45-5EE5-409B-9668-98E2251E2FA4}"/>
    <cellStyle name="Normal 5 3 3 9 3" xfId="11103" xr:uid="{151C2A79-BA23-472A-A4FA-19D6F61D0413}"/>
    <cellStyle name="Normal 5 3 4" xfId="449" xr:uid="{00000000-0005-0000-0000-0000141A0000}"/>
    <cellStyle name="Normal 5 3 4 10" xfId="9046" xr:uid="{E0F413CC-8811-4102-9A4D-CBFFAF99AB4E}"/>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EF75EF20-710D-4AE4-958D-6730B33B16FE}"/>
    <cellStyle name="Normal 5 3 4 2 2 2 2 3" xfId="11606" xr:uid="{95B3AE18-90A0-4A39-B815-9B32ED77CF7E}"/>
    <cellStyle name="Normal 5 3 4 2 2 2 3" xfId="5237" xr:uid="{00000000-0005-0000-0000-00001A1A0000}"/>
    <cellStyle name="Normal 5 3 4 2 2 2 3 2" xfId="13679" xr:uid="{C2D956E7-F53F-4B2A-9106-A4386E1883F4}"/>
    <cellStyle name="Normal 5 3 4 2 2 2 4" xfId="9461" xr:uid="{0DF01E87-2755-4F93-AC97-58DCAA7698AE}"/>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CCA27A91-0380-43E1-A4FC-3E01CAC8D475}"/>
    <cellStyle name="Normal 5 3 4 2 2 3 2 3" xfId="12019" xr:uid="{CA228110-3CFB-49FB-AA9A-4A42C4637AAE}"/>
    <cellStyle name="Normal 5 3 4 2 2 3 3" xfId="5650" xr:uid="{00000000-0005-0000-0000-00001E1A0000}"/>
    <cellStyle name="Normal 5 3 4 2 2 3 3 2" xfId="14092" xr:uid="{4C35D9C7-B476-4DB4-8798-47EA0ACF6618}"/>
    <cellStyle name="Normal 5 3 4 2 2 3 4" xfId="9874" xr:uid="{35FCC3A5-2528-434B-AB08-21D7C51454A8}"/>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48B68513-E8C6-4887-B2F6-A834623A8EB5}"/>
    <cellStyle name="Normal 5 3 4 2 2 4 2 3" xfId="12432" xr:uid="{07D50D2B-4368-484A-ADBB-8E06163AC4BD}"/>
    <cellStyle name="Normal 5 3 4 2 2 4 3" xfId="6063" xr:uid="{00000000-0005-0000-0000-0000221A0000}"/>
    <cellStyle name="Normal 5 3 4 2 2 4 3 2" xfId="14505" xr:uid="{DB939A66-D0E9-4860-9C47-FADF439287D5}"/>
    <cellStyle name="Normal 5 3 4 2 2 4 4" xfId="10287" xr:uid="{E9B8509F-D1C0-44FC-BD8C-AAA1D4F9CE63}"/>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7942E264-5361-4C59-911D-7FB2F60DB5BC}"/>
    <cellStyle name="Normal 5 3 4 2 2 5 2 3" xfId="12845" xr:uid="{2A10BF35-BEB6-4E47-93BA-879C97056FFB}"/>
    <cellStyle name="Normal 5 3 4 2 2 5 3" xfId="6476" xr:uid="{00000000-0005-0000-0000-0000261A0000}"/>
    <cellStyle name="Normal 5 3 4 2 2 5 3 2" xfId="14918" xr:uid="{8C57396E-819E-4C07-811C-2E2CABEDE61E}"/>
    <cellStyle name="Normal 5 3 4 2 2 5 4" xfId="10700" xr:uid="{BA4E8C66-4C7B-46CF-AEC1-7D9C8B0B4FAD}"/>
    <cellStyle name="Normal 5 3 4 2 2 6" xfId="2605" xr:uid="{00000000-0005-0000-0000-0000271A0000}"/>
    <cellStyle name="Normal 5 3 4 2 2 6 2" xfId="6889" xr:uid="{00000000-0005-0000-0000-0000281A0000}"/>
    <cellStyle name="Normal 5 3 4 2 2 6 2 2" xfId="15331" xr:uid="{4598B4B7-560C-4C98-9368-D4E8648E3BF5}"/>
    <cellStyle name="Normal 5 3 4 2 2 6 3" xfId="11113" xr:uid="{562416C1-8BA6-4566-AD73-0F5485033B75}"/>
    <cellStyle name="Normal 5 3 4 2 2 7" xfId="4824" xr:uid="{00000000-0005-0000-0000-0000291A0000}"/>
    <cellStyle name="Normal 5 3 4 2 2 7 2" xfId="13266" xr:uid="{15E60575-F3BA-4A07-840D-6EA7010B796B}"/>
    <cellStyle name="Normal 5 3 4 2 2 8" xfId="9048" xr:uid="{E3C55888-8FE6-46C1-9B4C-C25C27E4A00F}"/>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CEBABC85-41AD-48E5-B574-F8398BC7ECF3}"/>
    <cellStyle name="Normal 5 3 4 2 3 2 3" xfId="11605" xr:uid="{5B5B0064-3DC4-4F29-85B9-97720DA6EBBB}"/>
    <cellStyle name="Normal 5 3 4 2 3 3" xfId="5236" xr:uid="{00000000-0005-0000-0000-00002D1A0000}"/>
    <cellStyle name="Normal 5 3 4 2 3 3 2" xfId="13678" xr:uid="{903BD0A5-4A72-441C-9847-4995D65EDCD9}"/>
    <cellStyle name="Normal 5 3 4 2 3 4" xfId="9460" xr:uid="{773090C7-E285-4281-B818-82BC8E9AA358}"/>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52D2D9E8-B22D-41EC-8C46-5D38E860B193}"/>
    <cellStyle name="Normal 5 3 4 2 4 2 3" xfId="12018" xr:uid="{63BD3790-9D7F-4456-B697-B7B807AA8045}"/>
    <cellStyle name="Normal 5 3 4 2 4 3" xfId="5649" xr:uid="{00000000-0005-0000-0000-0000311A0000}"/>
    <cellStyle name="Normal 5 3 4 2 4 3 2" xfId="14091" xr:uid="{C01889F9-DE1F-418F-AA23-12DD4BBEF03B}"/>
    <cellStyle name="Normal 5 3 4 2 4 4" xfId="9873" xr:uid="{D8486203-1C32-43D9-8C3C-99DC84E7CA2D}"/>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541C38DF-181D-499E-A84D-3A16F7BD8ED0}"/>
    <cellStyle name="Normal 5 3 4 2 5 2 3" xfId="12431" xr:uid="{4FE421F2-863C-47B4-804A-C4A442779B45}"/>
    <cellStyle name="Normal 5 3 4 2 5 3" xfId="6062" xr:uid="{00000000-0005-0000-0000-0000351A0000}"/>
    <cellStyle name="Normal 5 3 4 2 5 3 2" xfId="14504" xr:uid="{5B594E3D-6024-44FD-A2ED-807767C24551}"/>
    <cellStyle name="Normal 5 3 4 2 5 4" xfId="10286" xr:uid="{48F672E4-C97B-4245-B0C1-4BFA415A6C4C}"/>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F78338FE-897F-46F2-B20A-B6887887B20A}"/>
    <cellStyle name="Normal 5 3 4 2 6 2 3" xfId="12844" xr:uid="{A9DE27C4-CC4C-48FC-B200-F1F01FD612F5}"/>
    <cellStyle name="Normal 5 3 4 2 6 3" xfId="6475" xr:uid="{00000000-0005-0000-0000-0000391A0000}"/>
    <cellStyle name="Normal 5 3 4 2 6 3 2" xfId="14917" xr:uid="{685A709B-D1FA-477D-91F3-FC241DDD7AEE}"/>
    <cellStyle name="Normal 5 3 4 2 6 4" xfId="10699" xr:uid="{670ACB90-CE93-4199-880C-AB2C385419C3}"/>
    <cellStyle name="Normal 5 3 4 2 7" xfId="2604" xr:uid="{00000000-0005-0000-0000-00003A1A0000}"/>
    <cellStyle name="Normal 5 3 4 2 7 2" xfId="6888" xr:uid="{00000000-0005-0000-0000-00003B1A0000}"/>
    <cellStyle name="Normal 5 3 4 2 7 2 2" xfId="15330" xr:uid="{070F99C3-A812-4019-A8EB-5AF80863A4A4}"/>
    <cellStyle name="Normal 5 3 4 2 7 3" xfId="11112" xr:uid="{319012B8-D114-447F-9C0E-882A9CFD09FB}"/>
    <cellStyle name="Normal 5 3 4 2 8" xfId="4823" xr:uid="{00000000-0005-0000-0000-00003C1A0000}"/>
    <cellStyle name="Normal 5 3 4 2 8 2" xfId="13265" xr:uid="{72BEAA57-0A3E-4FBD-961A-0FCDF2ECC93B}"/>
    <cellStyle name="Normal 5 3 4 2 9" xfId="9047" xr:uid="{DB8D61C4-4080-4006-9F24-FC84A75D18F8}"/>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2D4FD0C4-5970-4743-8CFE-178CB78FFA82}"/>
    <cellStyle name="Normal 5 3 4 3 2 2 3" xfId="11607" xr:uid="{8AE4BCB3-5769-4D10-86B3-B6AF1224381B}"/>
    <cellStyle name="Normal 5 3 4 3 2 3" xfId="5238" xr:uid="{00000000-0005-0000-0000-0000411A0000}"/>
    <cellStyle name="Normal 5 3 4 3 2 3 2" xfId="13680" xr:uid="{3B23A51A-24EE-4EF7-B219-BAB89581A1D5}"/>
    <cellStyle name="Normal 5 3 4 3 2 4" xfId="9462" xr:uid="{8413241E-9174-4527-B6CD-71FB47F970EB}"/>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0F06CBF5-FE70-48C8-A4AF-0F82E20D6589}"/>
    <cellStyle name="Normal 5 3 4 3 3 2 3" xfId="12020" xr:uid="{65B72E80-DBDC-41CB-9EC6-7C6CF671E6CC}"/>
    <cellStyle name="Normal 5 3 4 3 3 3" xfId="5651" xr:uid="{00000000-0005-0000-0000-0000451A0000}"/>
    <cellStyle name="Normal 5 3 4 3 3 3 2" xfId="14093" xr:uid="{048C40DB-4406-428D-A9FD-78DF95232731}"/>
    <cellStyle name="Normal 5 3 4 3 3 4" xfId="9875" xr:uid="{6331A39E-26CF-4D22-BBA1-6628E635A885}"/>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AEBF7607-336A-4F5B-97DE-2F43813118FD}"/>
    <cellStyle name="Normal 5 3 4 3 4 2 3" xfId="12433" xr:uid="{5A6886E1-3C04-4759-94CA-826B11060A91}"/>
    <cellStyle name="Normal 5 3 4 3 4 3" xfId="6064" xr:uid="{00000000-0005-0000-0000-0000491A0000}"/>
    <cellStyle name="Normal 5 3 4 3 4 3 2" xfId="14506" xr:uid="{DB121C67-AA7B-49A7-86F0-D7DF243F7C8F}"/>
    <cellStyle name="Normal 5 3 4 3 4 4" xfId="10288" xr:uid="{91A7648C-5B51-4A90-9513-189ED77F4175}"/>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6C27E70F-98FF-47E2-8EA4-9D8B148C508E}"/>
    <cellStyle name="Normal 5 3 4 3 5 2 3" xfId="12846" xr:uid="{DB019454-D084-455D-9413-0D8E8F430AB0}"/>
    <cellStyle name="Normal 5 3 4 3 5 3" xfId="6477" xr:uid="{00000000-0005-0000-0000-00004D1A0000}"/>
    <cellStyle name="Normal 5 3 4 3 5 3 2" xfId="14919" xr:uid="{B84F7766-8B9E-4D55-94BB-1E868B38221C}"/>
    <cellStyle name="Normal 5 3 4 3 5 4" xfId="10701" xr:uid="{E21A22AB-42BC-452B-A221-0445C41EBF5A}"/>
    <cellStyle name="Normal 5 3 4 3 6" xfId="2606" xr:uid="{00000000-0005-0000-0000-00004E1A0000}"/>
    <cellStyle name="Normal 5 3 4 3 6 2" xfId="6890" xr:uid="{00000000-0005-0000-0000-00004F1A0000}"/>
    <cellStyle name="Normal 5 3 4 3 6 2 2" xfId="15332" xr:uid="{31D661A7-F73B-45C5-AD11-A0AEB5D30D10}"/>
    <cellStyle name="Normal 5 3 4 3 6 3" xfId="11114" xr:uid="{838924AD-CB07-4CF2-A0B0-A656BB214E70}"/>
    <cellStyle name="Normal 5 3 4 3 7" xfId="4825" xr:uid="{00000000-0005-0000-0000-0000501A0000}"/>
    <cellStyle name="Normal 5 3 4 3 7 2" xfId="13267" xr:uid="{0307C9A4-6264-4D85-B5FA-029D8A3470CE}"/>
    <cellStyle name="Normal 5 3 4 3 8" xfId="9049" xr:uid="{B5F42F2D-B5DF-4D37-9547-94AE070C2866}"/>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10150B4C-EF49-48E1-8FE0-4DAAA8538380}"/>
    <cellStyle name="Normal 5 3 4 4 2 3" xfId="11604" xr:uid="{6A82456E-A56B-407A-891A-7A5829C42E31}"/>
    <cellStyle name="Normal 5 3 4 4 3" xfId="5235" xr:uid="{00000000-0005-0000-0000-0000541A0000}"/>
    <cellStyle name="Normal 5 3 4 4 3 2" xfId="13677" xr:uid="{BD060A38-66E9-4F99-A2AB-2F0E72424F5F}"/>
    <cellStyle name="Normal 5 3 4 4 4" xfId="9459" xr:uid="{A4547BDC-C51E-4238-968C-701C3FB208F5}"/>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0707D729-35A6-464A-9F6E-6441A31CD041}"/>
    <cellStyle name="Normal 5 3 4 5 2 3" xfId="12017" xr:uid="{49997DF5-D32E-48E8-8078-E8FA8F260AE3}"/>
    <cellStyle name="Normal 5 3 4 5 3" xfId="5648" xr:uid="{00000000-0005-0000-0000-0000581A0000}"/>
    <cellStyle name="Normal 5 3 4 5 3 2" xfId="14090" xr:uid="{FB6C2CB6-FC5E-4EBA-9BB0-37F8CCEB528F}"/>
    <cellStyle name="Normal 5 3 4 5 4" xfId="9872" xr:uid="{3814A0D2-7756-4D59-8A6A-6455BF07A259}"/>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63D80303-2180-43C1-AE45-EB349B5A3570}"/>
    <cellStyle name="Normal 5 3 4 6 2 3" xfId="12430" xr:uid="{E246BF2E-D350-4B76-BBBE-CD8B06842128}"/>
    <cellStyle name="Normal 5 3 4 6 3" xfId="6061" xr:uid="{00000000-0005-0000-0000-00005C1A0000}"/>
    <cellStyle name="Normal 5 3 4 6 3 2" xfId="14503" xr:uid="{89E18676-3C70-4EA3-A58B-6FB01B8CD753}"/>
    <cellStyle name="Normal 5 3 4 6 4" xfId="10285" xr:uid="{345DE7B4-F396-4B54-B777-564D9BE3100D}"/>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14A726CA-F82C-42A9-AA27-9AEAF724BDCB}"/>
    <cellStyle name="Normal 5 3 4 7 2 3" xfId="12843" xr:uid="{DD365E56-9CB9-4A0A-A68D-57C0CB0E5242}"/>
    <cellStyle name="Normal 5 3 4 7 3" xfId="6474" xr:uid="{00000000-0005-0000-0000-0000601A0000}"/>
    <cellStyle name="Normal 5 3 4 7 3 2" xfId="14916" xr:uid="{4B40B796-E6C3-492F-AD20-073763A5C6C7}"/>
    <cellStyle name="Normal 5 3 4 7 4" xfId="10698" xr:uid="{89E1E34A-6F84-4AF6-9F3D-573F56838E21}"/>
    <cellStyle name="Normal 5 3 4 8" xfId="2603" xr:uid="{00000000-0005-0000-0000-0000611A0000}"/>
    <cellStyle name="Normal 5 3 4 8 2" xfId="6887" xr:uid="{00000000-0005-0000-0000-0000621A0000}"/>
    <cellStyle name="Normal 5 3 4 8 2 2" xfId="15329" xr:uid="{BE3CD1A6-97E3-4DFF-A5B0-6B4453665B9E}"/>
    <cellStyle name="Normal 5 3 4 8 3" xfId="11111" xr:uid="{028332EB-C3CC-4148-97D6-AF366A70AF7D}"/>
    <cellStyle name="Normal 5 3 4 9" xfId="4822" xr:uid="{00000000-0005-0000-0000-0000631A0000}"/>
    <cellStyle name="Normal 5 3 4 9 2" xfId="13264" xr:uid="{0E043BA5-49EF-4647-B8C9-7255E427186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A8D775B2-7666-4233-94A5-A6109D017E59}"/>
    <cellStyle name="Normal 5 3 5 2 2 2 3" xfId="11609" xr:uid="{B7F35D0A-84E7-41C6-98F9-1CF6B856E5E3}"/>
    <cellStyle name="Normal 5 3 5 2 2 3" xfId="5240" xr:uid="{00000000-0005-0000-0000-0000691A0000}"/>
    <cellStyle name="Normal 5 3 5 2 2 3 2" xfId="13682" xr:uid="{9D43C71C-7766-4CA0-9F15-078BC82E833A}"/>
    <cellStyle name="Normal 5 3 5 2 2 4" xfId="9464" xr:uid="{E99FE665-7644-42DC-B7A4-7854A01C9EF7}"/>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2317E2F3-07AA-436F-B7A7-328659244BCB}"/>
    <cellStyle name="Normal 5 3 5 2 3 2 3" xfId="12022" xr:uid="{978C1FBE-C404-4502-94FF-77890FCC54A0}"/>
    <cellStyle name="Normal 5 3 5 2 3 3" xfId="5653" xr:uid="{00000000-0005-0000-0000-00006D1A0000}"/>
    <cellStyle name="Normal 5 3 5 2 3 3 2" xfId="14095" xr:uid="{641786B5-7D0D-4CA1-92EF-EA9DEF08B581}"/>
    <cellStyle name="Normal 5 3 5 2 3 4" xfId="9877" xr:uid="{088C2B50-7475-4DE3-AB79-511B5F3E70F9}"/>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7F42931B-3FC4-4902-AC8B-D0CB5E0A23C4}"/>
    <cellStyle name="Normal 5 3 5 2 4 2 3" xfId="12435" xr:uid="{79E46F57-6307-4A45-9E78-13DD57EFDACC}"/>
    <cellStyle name="Normal 5 3 5 2 4 3" xfId="6066" xr:uid="{00000000-0005-0000-0000-0000711A0000}"/>
    <cellStyle name="Normal 5 3 5 2 4 3 2" xfId="14508" xr:uid="{5C518E5C-5662-4309-97D1-2509EB56B721}"/>
    <cellStyle name="Normal 5 3 5 2 4 4" xfId="10290" xr:uid="{EA8A9071-7E11-4BE1-B851-318D5A27E714}"/>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05B6F978-1CC1-445D-AB49-FEA5B8420A69}"/>
    <cellStyle name="Normal 5 3 5 2 5 2 3" xfId="12848" xr:uid="{D3411BBB-B049-40D0-A5B1-6E0F958C9FC2}"/>
    <cellStyle name="Normal 5 3 5 2 5 3" xfId="6479" xr:uid="{00000000-0005-0000-0000-0000751A0000}"/>
    <cellStyle name="Normal 5 3 5 2 5 3 2" xfId="14921" xr:uid="{750DE18E-A19C-444F-BF86-C9650CB6A2B8}"/>
    <cellStyle name="Normal 5 3 5 2 5 4" xfId="10703" xr:uid="{9A437EDF-D289-4D47-B667-A0FEDF8406EB}"/>
    <cellStyle name="Normal 5 3 5 2 6" xfId="2608" xr:uid="{00000000-0005-0000-0000-0000761A0000}"/>
    <cellStyle name="Normal 5 3 5 2 6 2" xfId="6892" xr:uid="{00000000-0005-0000-0000-0000771A0000}"/>
    <cellStyle name="Normal 5 3 5 2 6 2 2" xfId="15334" xr:uid="{108E227C-A422-49CF-AD79-2800C46A178B}"/>
    <cellStyle name="Normal 5 3 5 2 6 3" xfId="11116" xr:uid="{DA79502D-1A0D-433B-BB79-BECE9EAE8B7A}"/>
    <cellStyle name="Normal 5 3 5 2 7" xfId="4827" xr:uid="{00000000-0005-0000-0000-0000781A0000}"/>
    <cellStyle name="Normal 5 3 5 2 7 2" xfId="13269" xr:uid="{8A722805-85D6-4DEB-8DE0-F0353CE1F271}"/>
    <cellStyle name="Normal 5 3 5 2 8" xfId="9051" xr:uid="{1E8247F4-6C34-40FB-BAD9-C25F5850EC64}"/>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930947DC-4502-43CB-8F60-DB9597CF9E9D}"/>
    <cellStyle name="Normal 5 3 5 3 2 3" xfId="11608" xr:uid="{CE61F202-05E6-4975-BEBB-4C46EB29A4E0}"/>
    <cellStyle name="Normal 5 3 5 3 3" xfId="5239" xr:uid="{00000000-0005-0000-0000-00007C1A0000}"/>
    <cellStyle name="Normal 5 3 5 3 3 2" xfId="13681" xr:uid="{120B2679-E5F9-4BD5-9446-11820568723E}"/>
    <cellStyle name="Normal 5 3 5 3 4" xfId="9463" xr:uid="{C62B3B21-5C93-4E68-B660-2EC2FCA48CE4}"/>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EE81F00F-1EE4-4FF3-B5B8-DF6742C88E0E}"/>
    <cellStyle name="Normal 5 3 5 4 2 3" xfId="12021" xr:uid="{1DFF810F-B44D-401E-A753-46EFDD03B7DF}"/>
    <cellStyle name="Normal 5 3 5 4 3" xfId="5652" xr:uid="{00000000-0005-0000-0000-0000801A0000}"/>
    <cellStyle name="Normal 5 3 5 4 3 2" xfId="14094" xr:uid="{53CDBA03-071D-418A-933B-C67E8E22773E}"/>
    <cellStyle name="Normal 5 3 5 4 4" xfId="9876" xr:uid="{DFA9407F-9279-4A93-AF9A-177360BDE5E7}"/>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7CBA35DC-F157-4920-A852-9289CFEE768A}"/>
    <cellStyle name="Normal 5 3 5 5 2 3" xfId="12434" xr:uid="{F9C42FEB-4433-4B50-84D8-396B2C3B0694}"/>
    <cellStyle name="Normal 5 3 5 5 3" xfId="6065" xr:uid="{00000000-0005-0000-0000-0000841A0000}"/>
    <cellStyle name="Normal 5 3 5 5 3 2" xfId="14507" xr:uid="{F351AAA5-B832-469A-B4B9-CB1D5377FCAF}"/>
    <cellStyle name="Normal 5 3 5 5 4" xfId="10289" xr:uid="{74CA709B-3E39-43F5-9850-1C4249093C89}"/>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9F6D0D1C-65ED-4C8B-A445-0D0D4C5A9A5D}"/>
    <cellStyle name="Normal 5 3 5 6 2 3" xfId="12847" xr:uid="{63988C45-78D5-4A66-A623-5D83D4F489EA}"/>
    <cellStyle name="Normal 5 3 5 6 3" xfId="6478" xr:uid="{00000000-0005-0000-0000-0000881A0000}"/>
    <cellStyle name="Normal 5 3 5 6 3 2" xfId="14920" xr:uid="{198A682D-2388-4264-856F-E09F94541E04}"/>
    <cellStyle name="Normal 5 3 5 6 4" xfId="10702" xr:uid="{FF56617D-0088-4204-A534-2BACC35979D7}"/>
    <cellStyle name="Normal 5 3 5 7" xfId="2607" xr:uid="{00000000-0005-0000-0000-0000891A0000}"/>
    <cellStyle name="Normal 5 3 5 7 2" xfId="6891" xr:uid="{00000000-0005-0000-0000-00008A1A0000}"/>
    <cellStyle name="Normal 5 3 5 7 2 2" xfId="15333" xr:uid="{5AAF00CE-A8AF-4F67-A28B-714C796FEA67}"/>
    <cellStyle name="Normal 5 3 5 7 3" xfId="11115" xr:uid="{5D41121A-FDBE-431B-B7EE-5969C0CC393E}"/>
    <cellStyle name="Normal 5 3 5 8" xfId="4826" xr:uid="{00000000-0005-0000-0000-00008B1A0000}"/>
    <cellStyle name="Normal 5 3 5 8 2" xfId="13268" xr:uid="{91395A6E-D3AD-4B48-8553-BDFD95464EA0}"/>
    <cellStyle name="Normal 5 3 5 9" xfId="9050" xr:uid="{DCEE2A94-3A3C-4045-9F3F-2A85CFFA6B5F}"/>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20994672-1B72-48E7-B7C5-ACED9C9B0704}"/>
    <cellStyle name="Normal 5 3 6 2 2 3" xfId="11610" xr:uid="{69C976A8-7AC2-4E39-8F97-E31A72ED07BF}"/>
    <cellStyle name="Normal 5 3 6 2 3" xfId="5241" xr:uid="{00000000-0005-0000-0000-0000901A0000}"/>
    <cellStyle name="Normal 5 3 6 2 3 2" xfId="13683" xr:uid="{5DBF6DAA-8ABD-4379-9056-58C4E07722D0}"/>
    <cellStyle name="Normal 5 3 6 2 4" xfId="9465" xr:uid="{AB0C7AB1-F5B4-42EB-A791-9D61B3703537}"/>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C282B81C-36A8-4075-A56E-837797030B3E}"/>
    <cellStyle name="Normal 5 3 6 3 2 3" xfId="12023" xr:uid="{1639C31C-5470-497B-A6C6-6F88C2D24558}"/>
    <cellStyle name="Normal 5 3 6 3 3" xfId="5654" xr:uid="{00000000-0005-0000-0000-0000941A0000}"/>
    <cellStyle name="Normal 5 3 6 3 3 2" xfId="14096" xr:uid="{72D32234-6DD6-4A5D-8878-03F036524576}"/>
    <cellStyle name="Normal 5 3 6 3 4" xfId="9878" xr:uid="{5F17EE7F-7E2B-43D4-9AEE-33600E39FE50}"/>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EE9ECDA4-AD41-47D1-82A8-13D0F71B586C}"/>
    <cellStyle name="Normal 5 3 6 4 2 3" xfId="12436" xr:uid="{9227DDD9-674D-4F2E-AE6C-064E2D4C0BA7}"/>
    <cellStyle name="Normal 5 3 6 4 3" xfId="6067" xr:uid="{00000000-0005-0000-0000-0000981A0000}"/>
    <cellStyle name="Normal 5 3 6 4 3 2" xfId="14509" xr:uid="{1A42B2B8-6E1A-436A-8F7E-11DE094FF801}"/>
    <cellStyle name="Normal 5 3 6 4 4" xfId="10291" xr:uid="{3F67B703-D1BF-4F96-B6E8-4D2A920AD1B7}"/>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5EA6DDCC-D3AD-46C7-8576-A9E0E48C4CFA}"/>
    <cellStyle name="Normal 5 3 6 5 2 3" xfId="12849" xr:uid="{4C2F7B28-5B3E-49D7-A9FE-EDAE54808981}"/>
    <cellStyle name="Normal 5 3 6 5 3" xfId="6480" xr:uid="{00000000-0005-0000-0000-00009C1A0000}"/>
    <cellStyle name="Normal 5 3 6 5 3 2" xfId="14922" xr:uid="{4D304DAF-C4BD-47E4-B745-9FC2AEFFC430}"/>
    <cellStyle name="Normal 5 3 6 5 4" xfId="10704" xr:uid="{01FA404F-1DEA-45CE-B11D-200263D565E1}"/>
    <cellStyle name="Normal 5 3 6 6" xfId="2609" xr:uid="{00000000-0005-0000-0000-00009D1A0000}"/>
    <cellStyle name="Normal 5 3 6 6 2" xfId="6893" xr:uid="{00000000-0005-0000-0000-00009E1A0000}"/>
    <cellStyle name="Normal 5 3 6 6 2 2" xfId="15335" xr:uid="{B152DF13-2542-447C-9DA2-8B904F0E1CC1}"/>
    <cellStyle name="Normal 5 3 6 6 3" xfId="11117" xr:uid="{6DD3BDFC-0462-44EA-A2BD-7501AE47D67D}"/>
    <cellStyle name="Normal 5 3 6 7" xfId="4828" xr:uid="{00000000-0005-0000-0000-00009F1A0000}"/>
    <cellStyle name="Normal 5 3 6 7 2" xfId="13270" xr:uid="{AC503FAC-CA41-4406-8E51-0201C24B0D71}"/>
    <cellStyle name="Normal 5 3 6 8" xfId="9052" xr:uid="{D62E2E4B-29BE-42DC-AA06-4AE81256AAF3}"/>
    <cellStyle name="Normal 5 3 7" xfId="913" xr:uid="{00000000-0005-0000-0000-0000A01A0000}"/>
    <cellStyle name="Normal 5 3 7 2" xfId="3148" xr:uid="{00000000-0005-0000-0000-0000A11A0000}"/>
    <cellStyle name="Normal 5 3 7 2 2" xfId="7371" xr:uid="{00000000-0005-0000-0000-0000A21A0000}"/>
    <cellStyle name="Normal 5 3 7 2 2 2" xfId="15813" xr:uid="{8F810D36-495E-41E9-9F61-9D69916C9183}"/>
    <cellStyle name="Normal 5 3 7 2 3" xfId="11595" xr:uid="{809FCA0B-1B81-40BD-8BFA-8CBEA2DEF448}"/>
    <cellStyle name="Normal 5 3 7 3" xfId="5226" xr:uid="{00000000-0005-0000-0000-0000A31A0000}"/>
    <cellStyle name="Normal 5 3 7 3 2" xfId="13668" xr:uid="{C20E0471-A3F6-4572-8A77-3C4E0B38698C}"/>
    <cellStyle name="Normal 5 3 7 4" xfId="9450" xr:uid="{3BA23066-4AAF-4504-AEC3-1FCB81A62380}"/>
    <cellStyle name="Normal 5 3 8" xfId="1331" xr:uid="{00000000-0005-0000-0000-0000A41A0000}"/>
    <cellStyle name="Normal 5 3 8 2" xfId="3561" xr:uid="{00000000-0005-0000-0000-0000A51A0000}"/>
    <cellStyle name="Normal 5 3 8 2 2" xfId="7784" xr:uid="{00000000-0005-0000-0000-0000A61A0000}"/>
    <cellStyle name="Normal 5 3 8 2 2 2" xfId="16226" xr:uid="{BCC23BE8-6190-435F-9A16-EE899C597558}"/>
    <cellStyle name="Normal 5 3 8 2 3" xfId="12008" xr:uid="{A5E92890-4436-4AAB-BA33-06BC0E128063}"/>
    <cellStyle name="Normal 5 3 8 3" xfId="5639" xr:uid="{00000000-0005-0000-0000-0000A71A0000}"/>
    <cellStyle name="Normal 5 3 8 3 2" xfId="14081" xr:uid="{B7EF5F22-352B-44D2-9E72-514013404936}"/>
    <cellStyle name="Normal 5 3 8 4" xfId="9863" xr:uid="{41DBC1F8-7F6E-44C4-9CDB-8AD18011BED0}"/>
    <cellStyle name="Normal 5 3 9" xfId="1744" xr:uid="{00000000-0005-0000-0000-0000A81A0000}"/>
    <cellStyle name="Normal 5 3 9 2" xfId="3974" xr:uid="{00000000-0005-0000-0000-0000A91A0000}"/>
    <cellStyle name="Normal 5 3 9 2 2" xfId="8197" xr:uid="{00000000-0005-0000-0000-0000AA1A0000}"/>
    <cellStyle name="Normal 5 3 9 2 2 2" xfId="16639" xr:uid="{D45A62B8-ED4F-4838-B1DE-DCDA2ED5662A}"/>
    <cellStyle name="Normal 5 3 9 2 3" xfId="12421" xr:uid="{163EDC3B-60BE-41F2-A06E-3A82D522C9BD}"/>
    <cellStyle name="Normal 5 3 9 3" xfId="6052" xr:uid="{00000000-0005-0000-0000-0000AB1A0000}"/>
    <cellStyle name="Normal 5 3 9 3 2" xfId="14494" xr:uid="{383B5FD0-8021-43EA-BAAF-175BF48A6715}"/>
    <cellStyle name="Normal 5 3 9 4" xfId="10276" xr:uid="{D8563CB9-D1F3-4722-A04A-04562ED14D92}"/>
    <cellStyle name="Normal 5 4" xfId="456" xr:uid="{00000000-0005-0000-0000-0000AC1A0000}"/>
    <cellStyle name="Normal 5 4 10" xfId="4829" xr:uid="{00000000-0005-0000-0000-0000AD1A0000}"/>
    <cellStyle name="Normal 5 4 10 2" xfId="13271" xr:uid="{51E30295-D178-4EBE-8C41-1C6FB7363AC8}"/>
    <cellStyle name="Normal 5 4 11" xfId="9053" xr:uid="{E360CE76-DE00-4119-B2C0-5176D150038A}"/>
    <cellStyle name="Normal 5 4 2" xfId="457" xr:uid="{00000000-0005-0000-0000-0000AE1A0000}"/>
    <cellStyle name="Normal 5 4 2 10" xfId="9054" xr:uid="{52651A61-F725-4B43-AB27-696845BC7B4F}"/>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795E592D-27C5-470A-AFFF-C3C0C399E425}"/>
    <cellStyle name="Normal 5 4 2 2 2 2 2 3" xfId="11614" xr:uid="{547FC572-8526-4B86-95F8-E8A6079A6C70}"/>
    <cellStyle name="Normal 5 4 2 2 2 2 3" xfId="5245" xr:uid="{00000000-0005-0000-0000-0000B41A0000}"/>
    <cellStyle name="Normal 5 4 2 2 2 2 3 2" xfId="13687" xr:uid="{B05DE8D0-5103-4ABE-A5F5-94CAE8124ED9}"/>
    <cellStyle name="Normal 5 4 2 2 2 2 4" xfId="9469" xr:uid="{7EE6C4CB-4899-4F27-90B2-7F323CEB5864}"/>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0CAB848B-3C33-49E7-A399-BB2BF9DE1A0F}"/>
    <cellStyle name="Normal 5 4 2 2 2 3 2 3" xfId="12027" xr:uid="{D6AFDFF2-7783-4DE9-BD06-F9D4E5EA5474}"/>
    <cellStyle name="Normal 5 4 2 2 2 3 3" xfId="5658" xr:uid="{00000000-0005-0000-0000-0000B81A0000}"/>
    <cellStyle name="Normal 5 4 2 2 2 3 3 2" xfId="14100" xr:uid="{6C60CBC0-A1E5-428C-A1D6-4DFCBB233E08}"/>
    <cellStyle name="Normal 5 4 2 2 2 3 4" xfId="9882" xr:uid="{578FA76A-8729-4964-B2F5-19485DCCAD0C}"/>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D5C7E562-DFE3-41A3-85C6-1078C7211C21}"/>
    <cellStyle name="Normal 5 4 2 2 2 4 2 3" xfId="12440" xr:uid="{8256ED47-4837-403C-9FC7-5DE7DF7A4012}"/>
    <cellStyle name="Normal 5 4 2 2 2 4 3" xfId="6071" xr:uid="{00000000-0005-0000-0000-0000BC1A0000}"/>
    <cellStyle name="Normal 5 4 2 2 2 4 3 2" xfId="14513" xr:uid="{0219539C-DD05-4FE6-B676-2B34CA53D27F}"/>
    <cellStyle name="Normal 5 4 2 2 2 4 4" xfId="10295" xr:uid="{3696EFAA-1C84-477B-8626-991D49FB0D6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8C42F9C5-76AA-478B-8B95-1EFBFE69ED0E}"/>
    <cellStyle name="Normal 5 4 2 2 2 5 2 3" xfId="12853" xr:uid="{B594C43A-4E95-4CAB-8786-6CA5538587D9}"/>
    <cellStyle name="Normal 5 4 2 2 2 5 3" xfId="6484" xr:uid="{00000000-0005-0000-0000-0000C01A0000}"/>
    <cellStyle name="Normal 5 4 2 2 2 5 3 2" xfId="14926" xr:uid="{49707DC6-35DB-4EDB-9EF3-797EC96C0A6F}"/>
    <cellStyle name="Normal 5 4 2 2 2 5 4" xfId="10708" xr:uid="{CA82D2B4-2CEA-44F0-B631-173813B12001}"/>
    <cellStyle name="Normal 5 4 2 2 2 6" xfId="2613" xr:uid="{00000000-0005-0000-0000-0000C11A0000}"/>
    <cellStyle name="Normal 5 4 2 2 2 6 2" xfId="6897" xr:uid="{00000000-0005-0000-0000-0000C21A0000}"/>
    <cellStyle name="Normal 5 4 2 2 2 6 2 2" xfId="15339" xr:uid="{D389ADA9-DC3E-40D0-B935-AD91328D41DA}"/>
    <cellStyle name="Normal 5 4 2 2 2 6 3" xfId="11121" xr:uid="{976A19B8-9167-4769-98ED-5162B1E7496B}"/>
    <cellStyle name="Normal 5 4 2 2 2 7" xfId="4832" xr:uid="{00000000-0005-0000-0000-0000C31A0000}"/>
    <cellStyle name="Normal 5 4 2 2 2 7 2" xfId="13274" xr:uid="{E1205C00-F80F-48EA-BD50-D07AD6B6B69F}"/>
    <cellStyle name="Normal 5 4 2 2 2 8" xfId="9056" xr:uid="{920D7C5B-46F2-4691-80CB-F1728276B8D9}"/>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D53E3E1A-9627-4B07-8826-4742536D184E}"/>
    <cellStyle name="Normal 5 4 2 2 3 2 3" xfId="11613" xr:uid="{5A2030B0-B1DE-49DE-AA36-F823563B0FD9}"/>
    <cellStyle name="Normal 5 4 2 2 3 3" xfId="5244" xr:uid="{00000000-0005-0000-0000-0000C71A0000}"/>
    <cellStyle name="Normal 5 4 2 2 3 3 2" xfId="13686" xr:uid="{91DCB81B-47CA-4729-BBF4-CFBAF663576D}"/>
    <cellStyle name="Normal 5 4 2 2 3 4" xfId="9468" xr:uid="{68DC48CF-F381-45DB-BA35-4F230048B27C}"/>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6FA1408B-AC49-4595-8FC4-A063FA4E4BDE}"/>
    <cellStyle name="Normal 5 4 2 2 4 2 3" xfId="12026" xr:uid="{83D30363-659F-4923-B2AF-21BDA898F5C7}"/>
    <cellStyle name="Normal 5 4 2 2 4 3" xfId="5657" xr:uid="{00000000-0005-0000-0000-0000CB1A0000}"/>
    <cellStyle name="Normal 5 4 2 2 4 3 2" xfId="14099" xr:uid="{EAFED59A-FA70-4332-B95B-12735AEA9537}"/>
    <cellStyle name="Normal 5 4 2 2 4 4" xfId="9881" xr:uid="{BDB56C5D-5D40-4C18-94AA-006F7740D795}"/>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27A8D4A1-6519-4175-A623-910DCD200675}"/>
    <cellStyle name="Normal 5 4 2 2 5 2 3" xfId="12439" xr:uid="{465067F8-81AC-40E6-BA8D-9740B4CC60B7}"/>
    <cellStyle name="Normal 5 4 2 2 5 3" xfId="6070" xr:uid="{00000000-0005-0000-0000-0000CF1A0000}"/>
    <cellStyle name="Normal 5 4 2 2 5 3 2" xfId="14512" xr:uid="{F8E69B9E-44CD-4109-9689-E1ED78C58845}"/>
    <cellStyle name="Normal 5 4 2 2 5 4" xfId="10294" xr:uid="{BCFAE520-1F00-47D5-A5E6-DB2157EC03CE}"/>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35EEEB34-6667-4C90-A8DB-5D548D76CB55}"/>
    <cellStyle name="Normal 5 4 2 2 6 2 3" xfId="12852" xr:uid="{84547E22-E56C-48D2-BF9C-7B407F531359}"/>
    <cellStyle name="Normal 5 4 2 2 6 3" xfId="6483" xr:uid="{00000000-0005-0000-0000-0000D31A0000}"/>
    <cellStyle name="Normal 5 4 2 2 6 3 2" xfId="14925" xr:uid="{084A7ACB-A43B-4179-AB29-757D87A84666}"/>
    <cellStyle name="Normal 5 4 2 2 6 4" xfId="10707" xr:uid="{39927B87-7991-459D-9A10-B9F198696394}"/>
    <cellStyle name="Normal 5 4 2 2 7" xfId="2612" xr:uid="{00000000-0005-0000-0000-0000D41A0000}"/>
    <cellStyle name="Normal 5 4 2 2 7 2" xfId="6896" xr:uid="{00000000-0005-0000-0000-0000D51A0000}"/>
    <cellStyle name="Normal 5 4 2 2 7 2 2" xfId="15338" xr:uid="{7D587C3F-55A4-4B30-8FFF-DB9C345E7EDC}"/>
    <cellStyle name="Normal 5 4 2 2 7 3" xfId="11120" xr:uid="{009F40DE-5E90-4584-9E10-4346EFC4B899}"/>
    <cellStyle name="Normal 5 4 2 2 8" xfId="4831" xr:uid="{00000000-0005-0000-0000-0000D61A0000}"/>
    <cellStyle name="Normal 5 4 2 2 8 2" xfId="13273" xr:uid="{81CB45AD-2EBB-46E7-A5F5-FDCFC42515D7}"/>
    <cellStyle name="Normal 5 4 2 2 9" xfId="9055" xr:uid="{21C7F87E-02AF-4C04-9526-2AF8B7D79B3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DA6A419F-B2B2-47B6-831B-E07738CA7621}"/>
    <cellStyle name="Normal 5 4 2 3 2 2 3" xfId="11615" xr:uid="{7C5DD7DE-9F5A-41EB-8F9C-9B036D094222}"/>
    <cellStyle name="Normal 5 4 2 3 2 3" xfId="5246" xr:uid="{00000000-0005-0000-0000-0000DB1A0000}"/>
    <cellStyle name="Normal 5 4 2 3 2 3 2" xfId="13688" xr:uid="{7EEC19F2-38AD-401B-8264-853EEA4780CB}"/>
    <cellStyle name="Normal 5 4 2 3 2 4" xfId="9470" xr:uid="{70624D5A-C166-429B-B074-FE5289954320}"/>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B3F1E9D3-677E-44A4-B053-8F660CD66E57}"/>
    <cellStyle name="Normal 5 4 2 3 3 2 3" xfId="12028" xr:uid="{8BC2BDBC-6CE5-4371-8913-F4CBEB3AD5F9}"/>
    <cellStyle name="Normal 5 4 2 3 3 3" xfId="5659" xr:uid="{00000000-0005-0000-0000-0000DF1A0000}"/>
    <cellStyle name="Normal 5 4 2 3 3 3 2" xfId="14101" xr:uid="{BE952BD3-DC7C-4734-8DA6-592500B6FDA4}"/>
    <cellStyle name="Normal 5 4 2 3 3 4" xfId="9883" xr:uid="{BBAB4DDF-F63B-4D52-B96F-F2F419044A14}"/>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A9433AB4-8170-438E-8368-65960C074FBE}"/>
    <cellStyle name="Normal 5 4 2 3 4 2 3" xfId="12441" xr:uid="{22805B72-505C-416F-87F1-FE7D66B2F813}"/>
    <cellStyle name="Normal 5 4 2 3 4 3" xfId="6072" xr:uid="{00000000-0005-0000-0000-0000E31A0000}"/>
    <cellStyle name="Normal 5 4 2 3 4 3 2" xfId="14514" xr:uid="{A2AB4583-17EC-460B-AAFB-C67251F1F46B}"/>
    <cellStyle name="Normal 5 4 2 3 4 4" xfId="10296" xr:uid="{2499BFED-C593-41BC-AC02-878DC2AA49E2}"/>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CA3C37DB-0C31-4C24-9117-B637F90AF3E2}"/>
    <cellStyle name="Normal 5 4 2 3 5 2 3" xfId="12854" xr:uid="{18730CF0-9052-4BEC-B29E-BD4892D1E516}"/>
    <cellStyle name="Normal 5 4 2 3 5 3" xfId="6485" xr:uid="{00000000-0005-0000-0000-0000E71A0000}"/>
    <cellStyle name="Normal 5 4 2 3 5 3 2" xfId="14927" xr:uid="{ABA90EDA-ED54-4862-89BE-3CFD07692A9F}"/>
    <cellStyle name="Normal 5 4 2 3 5 4" xfId="10709" xr:uid="{C068EE5F-2C5D-4B54-87B7-DC653903FBDA}"/>
    <cellStyle name="Normal 5 4 2 3 6" xfId="2614" xr:uid="{00000000-0005-0000-0000-0000E81A0000}"/>
    <cellStyle name="Normal 5 4 2 3 6 2" xfId="6898" xr:uid="{00000000-0005-0000-0000-0000E91A0000}"/>
    <cellStyle name="Normal 5 4 2 3 6 2 2" xfId="15340" xr:uid="{33F9026D-67F7-4AD2-9D7A-BB1E106D59B6}"/>
    <cellStyle name="Normal 5 4 2 3 6 3" xfId="11122" xr:uid="{B03A9F7A-1E78-4CF4-BBA1-C256DD8ED2A0}"/>
    <cellStyle name="Normal 5 4 2 3 7" xfId="4833" xr:uid="{00000000-0005-0000-0000-0000EA1A0000}"/>
    <cellStyle name="Normal 5 4 2 3 7 2" xfId="13275" xr:uid="{F71C71D6-B4E5-4125-8ADF-324C41E2DE03}"/>
    <cellStyle name="Normal 5 4 2 3 8" xfId="9057" xr:uid="{1727B712-4F90-4649-B07E-5CFC198D1715}"/>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53C92398-F8A1-4AFC-99AA-9DBCE69EBC3A}"/>
    <cellStyle name="Normal 5 4 2 4 2 3" xfId="11612" xr:uid="{E1CEDE82-E9A1-42ED-AEA7-A3F941DBD5AE}"/>
    <cellStyle name="Normal 5 4 2 4 3" xfId="5243" xr:uid="{00000000-0005-0000-0000-0000EE1A0000}"/>
    <cellStyle name="Normal 5 4 2 4 3 2" xfId="13685" xr:uid="{C6607682-DA36-4631-BDD8-8CCB3475D591}"/>
    <cellStyle name="Normal 5 4 2 4 4" xfId="9467" xr:uid="{A3A615E9-BD24-4F7D-AAF9-B0F3FE29FD60}"/>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A583B163-13E9-4AC7-BBB3-BB2C0041F4C7}"/>
    <cellStyle name="Normal 5 4 2 5 2 3" xfId="12025" xr:uid="{FFAE4A2C-0D9E-4E20-865B-D085187A5031}"/>
    <cellStyle name="Normal 5 4 2 5 3" xfId="5656" xr:uid="{00000000-0005-0000-0000-0000F21A0000}"/>
    <cellStyle name="Normal 5 4 2 5 3 2" xfId="14098" xr:uid="{339D8813-EA13-4921-8F09-9301DAD2E92D}"/>
    <cellStyle name="Normal 5 4 2 5 4" xfId="9880" xr:uid="{BEDA69D4-35E0-4B70-97C3-E3B25EF6C35B}"/>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76DB91FE-2E10-4933-A23B-28309673ADD2}"/>
    <cellStyle name="Normal 5 4 2 6 2 3" xfId="12438" xr:uid="{32E62F9A-ACEA-4F24-BE24-0DFFDF8087D4}"/>
    <cellStyle name="Normal 5 4 2 6 3" xfId="6069" xr:uid="{00000000-0005-0000-0000-0000F61A0000}"/>
    <cellStyle name="Normal 5 4 2 6 3 2" xfId="14511" xr:uid="{1BEBB2AA-28A7-424E-B9E0-3B0D668E2E8B}"/>
    <cellStyle name="Normal 5 4 2 6 4" xfId="10293" xr:uid="{192564CB-D193-4AE0-AA9A-2CFF16EB6B13}"/>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86EF05B7-0B32-4550-8D66-27AE0ADAB953}"/>
    <cellStyle name="Normal 5 4 2 7 2 3" xfId="12851" xr:uid="{27F98F53-E0BC-4C6B-8DE6-6AE29AF98DDE}"/>
    <cellStyle name="Normal 5 4 2 7 3" xfId="6482" xr:uid="{00000000-0005-0000-0000-0000FA1A0000}"/>
    <cellStyle name="Normal 5 4 2 7 3 2" xfId="14924" xr:uid="{E1FA5940-87E2-4906-9DF4-1F77041980D7}"/>
    <cellStyle name="Normal 5 4 2 7 4" xfId="10706" xr:uid="{4A6126BC-DA7E-4796-AA01-2D314452EB56}"/>
    <cellStyle name="Normal 5 4 2 8" xfId="2611" xr:uid="{00000000-0005-0000-0000-0000FB1A0000}"/>
    <cellStyle name="Normal 5 4 2 8 2" xfId="6895" xr:uid="{00000000-0005-0000-0000-0000FC1A0000}"/>
    <cellStyle name="Normal 5 4 2 8 2 2" xfId="15337" xr:uid="{B198C3EC-9DB2-4A80-9449-4E36FD6E8D59}"/>
    <cellStyle name="Normal 5 4 2 8 3" xfId="11119" xr:uid="{944B95FB-39D9-456B-8EE8-D5F9883678A2}"/>
    <cellStyle name="Normal 5 4 2 9" xfId="4830" xr:uid="{00000000-0005-0000-0000-0000FD1A0000}"/>
    <cellStyle name="Normal 5 4 2 9 2" xfId="13272" xr:uid="{01D292C3-E4BF-4BB0-BFC0-5D0E589DDF0A}"/>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10924D74-0356-40CF-82A3-CE8316D69705}"/>
    <cellStyle name="Normal 5 4 3 2 2 2 3" xfId="11617" xr:uid="{5EE24217-F69E-4E07-9C70-EAA5FEE594AC}"/>
    <cellStyle name="Normal 5 4 3 2 2 3" xfId="5248" xr:uid="{00000000-0005-0000-0000-0000031B0000}"/>
    <cellStyle name="Normal 5 4 3 2 2 3 2" xfId="13690" xr:uid="{9492B154-CB0F-4A2B-9FBB-D2A58036232F}"/>
    <cellStyle name="Normal 5 4 3 2 2 4" xfId="9472" xr:uid="{BB78F7C7-F6D1-4068-AEA7-4071101CEBBE}"/>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9F9DE365-84C2-43DD-86D9-E2C1A8D3F72D}"/>
    <cellStyle name="Normal 5 4 3 2 3 2 3" xfId="12030" xr:uid="{FDBAD453-EC4B-461C-A723-C9D87A345669}"/>
    <cellStyle name="Normal 5 4 3 2 3 3" xfId="5661" xr:uid="{00000000-0005-0000-0000-0000071B0000}"/>
    <cellStyle name="Normal 5 4 3 2 3 3 2" xfId="14103" xr:uid="{814A944C-C794-427B-B8BF-A4E51972D507}"/>
    <cellStyle name="Normal 5 4 3 2 3 4" xfId="9885" xr:uid="{4DEEC621-BD11-45C4-9BA9-3875E333669C}"/>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7CA1B8C3-745F-4E15-B6A8-314DC39C6903}"/>
    <cellStyle name="Normal 5 4 3 2 4 2 3" xfId="12443" xr:uid="{49207BBD-B4E9-4EBE-9B81-7BA0177A03B1}"/>
    <cellStyle name="Normal 5 4 3 2 4 3" xfId="6074" xr:uid="{00000000-0005-0000-0000-00000B1B0000}"/>
    <cellStyle name="Normal 5 4 3 2 4 3 2" xfId="14516" xr:uid="{8723417E-4635-4F20-9255-7B73A229D0A8}"/>
    <cellStyle name="Normal 5 4 3 2 4 4" xfId="10298" xr:uid="{E9ECA310-40B2-45D7-BA28-FD80BFC27C6F}"/>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97665C58-E05C-4482-B2DE-877B6BB8BB45}"/>
    <cellStyle name="Normal 5 4 3 2 5 2 3" xfId="12856" xr:uid="{3D92ED8A-F453-4FA0-894D-29FD8BE0BEA2}"/>
    <cellStyle name="Normal 5 4 3 2 5 3" xfId="6487" xr:uid="{00000000-0005-0000-0000-00000F1B0000}"/>
    <cellStyle name="Normal 5 4 3 2 5 3 2" xfId="14929" xr:uid="{3BA657B6-D88A-4416-A04D-4ABB50B37409}"/>
    <cellStyle name="Normal 5 4 3 2 5 4" xfId="10711" xr:uid="{51B19B0A-3E66-4F13-9FB5-97BF2B0454E9}"/>
    <cellStyle name="Normal 5 4 3 2 6" xfId="2616" xr:uid="{00000000-0005-0000-0000-0000101B0000}"/>
    <cellStyle name="Normal 5 4 3 2 6 2" xfId="6900" xr:uid="{00000000-0005-0000-0000-0000111B0000}"/>
    <cellStyle name="Normal 5 4 3 2 6 2 2" xfId="15342" xr:uid="{EFF01C34-F08B-4995-BFB9-58F209B40D75}"/>
    <cellStyle name="Normal 5 4 3 2 6 3" xfId="11124" xr:uid="{FD98C160-51C8-4376-8E3F-950ED872EB88}"/>
    <cellStyle name="Normal 5 4 3 2 7" xfId="4835" xr:uid="{00000000-0005-0000-0000-0000121B0000}"/>
    <cellStyle name="Normal 5 4 3 2 7 2" xfId="13277" xr:uid="{CB9DB49F-55A6-4BE3-9F10-112599DC28D1}"/>
    <cellStyle name="Normal 5 4 3 2 8" xfId="9059" xr:uid="{44FAB63A-7168-4094-9688-D4DA98717D02}"/>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1EEC88CA-2812-4EC2-99AB-3401F9D22494}"/>
    <cellStyle name="Normal 5 4 3 3 2 3" xfId="11616" xr:uid="{7FD173D0-0CA8-4411-B299-A06AADA99CD1}"/>
    <cellStyle name="Normal 5 4 3 3 3" xfId="5247" xr:uid="{00000000-0005-0000-0000-0000161B0000}"/>
    <cellStyle name="Normal 5 4 3 3 3 2" xfId="13689" xr:uid="{2ACE7420-21CF-4918-BB81-72013D71F488}"/>
    <cellStyle name="Normal 5 4 3 3 4" xfId="9471" xr:uid="{4E998655-AD94-49C4-8947-661330A815FF}"/>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C21477AF-2721-48D2-84BB-32E1C5CEB88C}"/>
    <cellStyle name="Normal 5 4 3 4 2 3" xfId="12029" xr:uid="{8F6E16FD-424B-48BB-B277-830730BE66BA}"/>
    <cellStyle name="Normal 5 4 3 4 3" xfId="5660" xr:uid="{00000000-0005-0000-0000-00001A1B0000}"/>
    <cellStyle name="Normal 5 4 3 4 3 2" xfId="14102" xr:uid="{BD0A75BE-C25D-46F9-B5C0-B16E86B48E5E}"/>
    <cellStyle name="Normal 5 4 3 4 4" xfId="9884" xr:uid="{70288C4F-F14F-4626-A5AF-EF66E6C80D08}"/>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E222968D-232C-4F28-8BD2-B387DD499CD4}"/>
    <cellStyle name="Normal 5 4 3 5 2 3" xfId="12442" xr:uid="{4AF7BF56-C07D-4ECC-B2CC-18320D8582C0}"/>
    <cellStyle name="Normal 5 4 3 5 3" xfId="6073" xr:uid="{00000000-0005-0000-0000-00001E1B0000}"/>
    <cellStyle name="Normal 5 4 3 5 3 2" xfId="14515" xr:uid="{0169A9DA-6084-4397-8970-90EFD8FD5E75}"/>
    <cellStyle name="Normal 5 4 3 5 4" xfId="10297" xr:uid="{35EAF665-D35C-4431-9E4B-19BAB193FE5B}"/>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D7747BE3-CD1C-4DF6-8419-06C11E486F8C}"/>
    <cellStyle name="Normal 5 4 3 6 2 3" xfId="12855" xr:uid="{28BD55B7-7F21-4B66-BB55-21B510914FE4}"/>
    <cellStyle name="Normal 5 4 3 6 3" xfId="6486" xr:uid="{00000000-0005-0000-0000-0000221B0000}"/>
    <cellStyle name="Normal 5 4 3 6 3 2" xfId="14928" xr:uid="{3732BFE6-6E65-4188-8188-D5C4859D2FAE}"/>
    <cellStyle name="Normal 5 4 3 6 4" xfId="10710" xr:uid="{75044A16-25E8-4BDD-81C7-9E17676384CB}"/>
    <cellStyle name="Normal 5 4 3 7" xfId="2615" xr:uid="{00000000-0005-0000-0000-0000231B0000}"/>
    <cellStyle name="Normal 5 4 3 7 2" xfId="6899" xr:uid="{00000000-0005-0000-0000-0000241B0000}"/>
    <cellStyle name="Normal 5 4 3 7 2 2" xfId="15341" xr:uid="{9586BC30-FFE6-42BA-83E9-3B9B88378CE5}"/>
    <cellStyle name="Normal 5 4 3 7 3" xfId="11123" xr:uid="{438E4EB0-84C0-410E-95BF-8266F528741B}"/>
    <cellStyle name="Normal 5 4 3 8" xfId="4834" xr:uid="{00000000-0005-0000-0000-0000251B0000}"/>
    <cellStyle name="Normal 5 4 3 8 2" xfId="13276" xr:uid="{CA8D66D1-DB9D-475F-AFC1-CE55C5049DC8}"/>
    <cellStyle name="Normal 5 4 3 9" xfId="9058" xr:uid="{C5AC1BB7-D2DC-40CA-B9E7-52AB1D15E73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FD594CED-88BB-4A83-A939-DE0AC845AAE8}"/>
    <cellStyle name="Normal 5 4 4 2 2 3" xfId="11618" xr:uid="{1137702A-3056-4871-8784-75861EBEBB6B}"/>
    <cellStyle name="Normal 5 4 4 2 3" xfId="5249" xr:uid="{00000000-0005-0000-0000-00002A1B0000}"/>
    <cellStyle name="Normal 5 4 4 2 3 2" xfId="13691" xr:uid="{C59DD5EE-BD6E-46F3-8E35-5242C9EDAE3D}"/>
    <cellStyle name="Normal 5 4 4 2 4" xfId="9473" xr:uid="{2F87423A-F4F4-4323-A5E5-5141ABCC3304}"/>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35407AC8-C270-4E94-92B7-E516DC3262C9}"/>
    <cellStyle name="Normal 5 4 4 3 2 3" xfId="12031" xr:uid="{AC4EA1BF-25D7-4B29-AB8A-9440DB7CD605}"/>
    <cellStyle name="Normal 5 4 4 3 3" xfId="5662" xr:uid="{00000000-0005-0000-0000-00002E1B0000}"/>
    <cellStyle name="Normal 5 4 4 3 3 2" xfId="14104" xr:uid="{3546965E-840B-4C72-8C4B-E8EFA15E38B6}"/>
    <cellStyle name="Normal 5 4 4 3 4" xfId="9886" xr:uid="{5B0FDCBD-ED58-40BC-A405-79329F66A0B6}"/>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646791AA-2B3C-4035-BFD6-A23D72CA257E}"/>
    <cellStyle name="Normal 5 4 4 4 2 3" xfId="12444" xr:uid="{BE53E79A-99F1-4E49-BDE9-3C5490EC1132}"/>
    <cellStyle name="Normal 5 4 4 4 3" xfId="6075" xr:uid="{00000000-0005-0000-0000-0000321B0000}"/>
    <cellStyle name="Normal 5 4 4 4 3 2" xfId="14517" xr:uid="{C4ECCFEE-517E-44E0-A405-D1C1D1F789CD}"/>
    <cellStyle name="Normal 5 4 4 4 4" xfId="10299" xr:uid="{A297D18F-781B-410C-83C7-3805C382F8BE}"/>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32734422-7926-4A88-91EA-DEA8C8CC1C5D}"/>
    <cellStyle name="Normal 5 4 4 5 2 3" xfId="12857" xr:uid="{0D8FDDC2-D90D-409E-98E3-8D760C6D5F7A}"/>
    <cellStyle name="Normal 5 4 4 5 3" xfId="6488" xr:uid="{00000000-0005-0000-0000-0000361B0000}"/>
    <cellStyle name="Normal 5 4 4 5 3 2" xfId="14930" xr:uid="{483CBAEE-9A6C-40FF-B29C-C2ECAB0AA7D8}"/>
    <cellStyle name="Normal 5 4 4 5 4" xfId="10712" xr:uid="{D00906A6-3EDD-41C5-B38A-52AD3B37A0DB}"/>
    <cellStyle name="Normal 5 4 4 6" xfId="2617" xr:uid="{00000000-0005-0000-0000-0000371B0000}"/>
    <cellStyle name="Normal 5 4 4 6 2" xfId="6901" xr:uid="{00000000-0005-0000-0000-0000381B0000}"/>
    <cellStyle name="Normal 5 4 4 6 2 2" xfId="15343" xr:uid="{E16163B4-4B95-4963-9BF6-608595B3CAC6}"/>
    <cellStyle name="Normal 5 4 4 6 3" xfId="11125" xr:uid="{0EDE8BB3-DFDA-4C60-AF81-DEB149A11C5D}"/>
    <cellStyle name="Normal 5 4 4 7" xfId="4836" xr:uid="{00000000-0005-0000-0000-0000391B0000}"/>
    <cellStyle name="Normal 5 4 4 7 2" xfId="13278" xr:uid="{02995702-0E8B-41DC-8ACA-45CF0DE6FBE7}"/>
    <cellStyle name="Normal 5 4 4 8" xfId="9060" xr:uid="{80AA85B2-B79A-44A6-934E-56386D8DEFEF}"/>
    <cellStyle name="Normal 5 4 5" xfId="930" xr:uid="{00000000-0005-0000-0000-00003A1B0000}"/>
    <cellStyle name="Normal 5 4 5 2" xfId="3164" xr:uid="{00000000-0005-0000-0000-00003B1B0000}"/>
    <cellStyle name="Normal 5 4 5 2 2" xfId="7387" xr:uid="{00000000-0005-0000-0000-00003C1B0000}"/>
    <cellStyle name="Normal 5 4 5 2 2 2" xfId="15829" xr:uid="{2381237F-3A9F-4FF6-A6FD-269BF6FA59D1}"/>
    <cellStyle name="Normal 5 4 5 2 3" xfId="11611" xr:uid="{0B8C1D50-470D-4326-9737-AD215FFD3A60}"/>
    <cellStyle name="Normal 5 4 5 3" xfId="5242" xr:uid="{00000000-0005-0000-0000-00003D1B0000}"/>
    <cellStyle name="Normal 5 4 5 3 2" xfId="13684" xr:uid="{DEF8554E-709D-43E0-978F-1608335226BE}"/>
    <cellStyle name="Normal 5 4 5 4" xfId="9466" xr:uid="{946DADA9-59E1-4748-8B69-5E04E9768EFC}"/>
    <cellStyle name="Normal 5 4 6" xfId="1347" xr:uid="{00000000-0005-0000-0000-00003E1B0000}"/>
    <cellStyle name="Normal 5 4 6 2" xfId="3577" xr:uid="{00000000-0005-0000-0000-00003F1B0000}"/>
    <cellStyle name="Normal 5 4 6 2 2" xfId="7800" xr:uid="{00000000-0005-0000-0000-0000401B0000}"/>
    <cellStyle name="Normal 5 4 6 2 2 2" xfId="16242" xr:uid="{15F1201C-E17D-446C-9351-26856B989935}"/>
    <cellStyle name="Normal 5 4 6 2 3" xfId="12024" xr:uid="{698EE051-101A-4966-ACE1-62BD1440E3B6}"/>
    <cellStyle name="Normal 5 4 6 3" xfId="5655" xr:uid="{00000000-0005-0000-0000-0000411B0000}"/>
    <cellStyle name="Normal 5 4 6 3 2" xfId="14097" xr:uid="{6EB6196B-4402-4A3C-8471-0F1B502B5A7C}"/>
    <cellStyle name="Normal 5 4 6 4" xfId="9879" xr:uid="{D657F604-7DD9-47C9-A310-A94E53EBBC0F}"/>
    <cellStyle name="Normal 5 4 7" xfId="1760" xr:uid="{00000000-0005-0000-0000-0000421B0000}"/>
    <cellStyle name="Normal 5 4 7 2" xfId="3990" xr:uid="{00000000-0005-0000-0000-0000431B0000}"/>
    <cellStyle name="Normal 5 4 7 2 2" xfId="8213" xr:uid="{00000000-0005-0000-0000-0000441B0000}"/>
    <cellStyle name="Normal 5 4 7 2 2 2" xfId="16655" xr:uid="{EE13D2BD-F4FC-4E90-9F09-0251875794BA}"/>
    <cellStyle name="Normal 5 4 7 2 3" xfId="12437" xr:uid="{FADB9379-7287-4C1C-82E7-B496EBE1EFE3}"/>
    <cellStyle name="Normal 5 4 7 3" xfId="6068" xr:uid="{00000000-0005-0000-0000-0000451B0000}"/>
    <cellStyle name="Normal 5 4 7 3 2" xfId="14510" xr:uid="{3ABA3D91-846C-4A6D-AF82-BBAC1311F04A}"/>
    <cellStyle name="Normal 5 4 7 4" xfId="10292" xr:uid="{3DD7D233-C9A2-48A0-8848-5F2AB839FB7D}"/>
    <cellStyle name="Normal 5 4 8" xfId="2174" xr:uid="{00000000-0005-0000-0000-0000461B0000}"/>
    <cellStyle name="Normal 5 4 8 2" xfId="4403" xr:uid="{00000000-0005-0000-0000-0000471B0000}"/>
    <cellStyle name="Normal 5 4 8 2 2" xfId="8626" xr:uid="{00000000-0005-0000-0000-0000481B0000}"/>
    <cellStyle name="Normal 5 4 8 2 2 2" xfId="17068" xr:uid="{A4DE563E-AA57-466F-9C47-BAA9339764E3}"/>
    <cellStyle name="Normal 5 4 8 2 3" xfId="12850" xr:uid="{DD610D46-EE62-4B5E-A89A-0765356C5F3E}"/>
    <cellStyle name="Normal 5 4 8 3" xfId="6481" xr:uid="{00000000-0005-0000-0000-0000491B0000}"/>
    <cellStyle name="Normal 5 4 8 3 2" xfId="14923" xr:uid="{BDC6C7B0-CC28-4486-B48E-913730624A1A}"/>
    <cellStyle name="Normal 5 4 8 4" xfId="10705" xr:uid="{94973FF3-616E-486F-850D-5F1238F9052F}"/>
    <cellStyle name="Normal 5 4 9" xfId="2610" xr:uid="{00000000-0005-0000-0000-00004A1B0000}"/>
    <cellStyle name="Normal 5 4 9 2" xfId="6894" xr:uid="{00000000-0005-0000-0000-00004B1B0000}"/>
    <cellStyle name="Normal 5 4 9 2 2" xfId="15336" xr:uid="{5EBF8782-0674-4B34-B200-F0EC7327D35F}"/>
    <cellStyle name="Normal 5 4 9 3" xfId="11118" xr:uid="{53D4DE0D-D8B1-4736-801F-F93EE9498B66}"/>
    <cellStyle name="Normal 5 5" xfId="464" xr:uid="{00000000-0005-0000-0000-00004C1B0000}"/>
    <cellStyle name="Normal 5 5 10" xfId="9061" xr:uid="{A8555813-6747-4B72-BE51-F0DDF437CEB4}"/>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59EC280A-9EAE-4725-ABAE-42B011862F4F}"/>
    <cellStyle name="Normal 5 5 2 2 2 2 3" xfId="11621" xr:uid="{8C0266A0-E5E4-4D5C-97C1-34BF4616C459}"/>
    <cellStyle name="Normal 5 5 2 2 2 3" xfId="5252" xr:uid="{00000000-0005-0000-0000-0000521B0000}"/>
    <cellStyle name="Normal 5 5 2 2 2 3 2" xfId="13694" xr:uid="{02C6C141-7ED5-48B8-9914-01A9B2AEA754}"/>
    <cellStyle name="Normal 5 5 2 2 2 4" xfId="9476" xr:uid="{85EECCBF-B2CD-4ECE-8AB9-EE7E140502B7}"/>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6761F6EE-D161-445A-9D1A-CCB5867CAB00}"/>
    <cellStyle name="Normal 5 5 2 2 3 2 3" xfId="12034" xr:uid="{D1E9030F-B734-4ABB-8467-0D26ADDFAC73}"/>
    <cellStyle name="Normal 5 5 2 2 3 3" xfId="5665" xr:uid="{00000000-0005-0000-0000-0000561B0000}"/>
    <cellStyle name="Normal 5 5 2 2 3 3 2" xfId="14107" xr:uid="{3A6C0C09-9D3C-4978-A832-4640CCA3F4B5}"/>
    <cellStyle name="Normal 5 5 2 2 3 4" xfId="9889" xr:uid="{D39E230E-FCF3-4746-827A-723D6899EBA0}"/>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A00E0965-D1FB-4E7E-B3F3-356D78811975}"/>
    <cellStyle name="Normal 5 5 2 2 4 2 3" xfId="12447" xr:uid="{C9803071-D182-440A-8D6C-8C55FE330526}"/>
    <cellStyle name="Normal 5 5 2 2 4 3" xfId="6078" xr:uid="{00000000-0005-0000-0000-00005A1B0000}"/>
    <cellStyle name="Normal 5 5 2 2 4 3 2" xfId="14520" xr:uid="{D23DB0DE-086A-4A59-A462-05E927832088}"/>
    <cellStyle name="Normal 5 5 2 2 4 4" xfId="10302" xr:uid="{5432CADA-426A-4B69-8CBA-1F636C01B0E0}"/>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68D81A05-063B-4D28-802C-961BEED8F1EE}"/>
    <cellStyle name="Normal 5 5 2 2 5 2 3" xfId="12860" xr:uid="{CA5CD89E-2D64-461F-BED9-22CADE8E300D}"/>
    <cellStyle name="Normal 5 5 2 2 5 3" xfId="6491" xr:uid="{00000000-0005-0000-0000-00005E1B0000}"/>
    <cellStyle name="Normal 5 5 2 2 5 3 2" xfId="14933" xr:uid="{B3D2BBBE-A75E-4D11-9626-85D637A71F69}"/>
    <cellStyle name="Normal 5 5 2 2 5 4" xfId="10715" xr:uid="{DF56C8C5-B644-48EC-AF12-95460FCEF095}"/>
    <cellStyle name="Normal 5 5 2 2 6" xfId="2620" xr:uid="{00000000-0005-0000-0000-00005F1B0000}"/>
    <cellStyle name="Normal 5 5 2 2 6 2" xfId="6904" xr:uid="{00000000-0005-0000-0000-0000601B0000}"/>
    <cellStyle name="Normal 5 5 2 2 6 2 2" xfId="15346" xr:uid="{F5FECCEA-B523-49B2-A36A-40CD530F02A2}"/>
    <cellStyle name="Normal 5 5 2 2 6 3" xfId="11128" xr:uid="{61295BFF-4624-4818-8FC8-D7C250A671AA}"/>
    <cellStyle name="Normal 5 5 2 2 7" xfId="4839" xr:uid="{00000000-0005-0000-0000-0000611B0000}"/>
    <cellStyle name="Normal 5 5 2 2 7 2" xfId="13281" xr:uid="{846703D9-C7F0-4EE6-9305-0F36E02C7AB9}"/>
    <cellStyle name="Normal 5 5 2 2 8" xfId="9063" xr:uid="{8C16A0DA-80CE-4EC1-8442-1A1FB257DF0E}"/>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8E1D1391-F247-4500-B026-6D8A1B8A39EB}"/>
    <cellStyle name="Normal 5 5 2 3 2 3" xfId="11620" xr:uid="{FBFF758F-DA14-43ED-B18A-BA9E7EF623B1}"/>
    <cellStyle name="Normal 5 5 2 3 3" xfId="5251" xr:uid="{00000000-0005-0000-0000-0000651B0000}"/>
    <cellStyle name="Normal 5 5 2 3 3 2" xfId="13693" xr:uid="{3EE221B9-936A-40EF-B3DD-78E782FCA1A3}"/>
    <cellStyle name="Normal 5 5 2 3 4" xfId="9475" xr:uid="{522810B7-FE7A-47EE-9F0E-B475935EC915}"/>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F668320D-72A0-4E1A-B5FC-C1F9DCD6C442}"/>
    <cellStyle name="Normal 5 5 2 4 2 3" xfId="12033" xr:uid="{88AD6A58-D2E0-49F8-8970-EBFF37F84D46}"/>
    <cellStyle name="Normal 5 5 2 4 3" xfId="5664" xr:uid="{00000000-0005-0000-0000-0000691B0000}"/>
    <cellStyle name="Normal 5 5 2 4 3 2" xfId="14106" xr:uid="{8B4B64DD-2F87-45AE-AACC-C21D61EA2F5A}"/>
    <cellStyle name="Normal 5 5 2 4 4" xfId="9888" xr:uid="{05543A44-CBB3-48AB-82A7-95065B056B7A}"/>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38EE33B0-C0C9-4619-AB90-55685BF771D7}"/>
    <cellStyle name="Normal 5 5 2 5 2 3" xfId="12446" xr:uid="{057BAE29-5E98-45FF-9737-C601E872F54B}"/>
    <cellStyle name="Normal 5 5 2 5 3" xfId="6077" xr:uid="{00000000-0005-0000-0000-00006D1B0000}"/>
    <cellStyle name="Normal 5 5 2 5 3 2" xfId="14519" xr:uid="{B145EAD7-70A0-4A2F-AB7F-B184BF8DE7F6}"/>
    <cellStyle name="Normal 5 5 2 5 4" xfId="10301" xr:uid="{DBDB18BA-04CE-4958-842C-015BE30D483E}"/>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05BFFBA3-4585-4EE2-853C-F4F5800B9F1B}"/>
    <cellStyle name="Normal 5 5 2 6 2 3" xfId="12859" xr:uid="{9DA9EB4A-4261-4CAC-997B-12EA19C58761}"/>
    <cellStyle name="Normal 5 5 2 6 3" xfId="6490" xr:uid="{00000000-0005-0000-0000-0000711B0000}"/>
    <cellStyle name="Normal 5 5 2 6 3 2" xfId="14932" xr:uid="{0F43BB85-959B-4A0B-B847-7092B6C7048B}"/>
    <cellStyle name="Normal 5 5 2 6 4" xfId="10714" xr:uid="{FE4A014C-19E7-429B-A7D8-735AF9E04D6E}"/>
    <cellStyle name="Normal 5 5 2 7" xfId="2619" xr:uid="{00000000-0005-0000-0000-0000721B0000}"/>
    <cellStyle name="Normal 5 5 2 7 2" xfId="6903" xr:uid="{00000000-0005-0000-0000-0000731B0000}"/>
    <cellStyle name="Normal 5 5 2 7 2 2" xfId="15345" xr:uid="{215D661A-0D10-4564-A791-B5268F2EFA19}"/>
    <cellStyle name="Normal 5 5 2 7 3" xfId="11127" xr:uid="{D942F95E-8986-4CEB-9044-E519EDB36BAF}"/>
    <cellStyle name="Normal 5 5 2 8" xfId="4838" xr:uid="{00000000-0005-0000-0000-0000741B0000}"/>
    <cellStyle name="Normal 5 5 2 8 2" xfId="13280" xr:uid="{1E517B09-03CF-497D-9567-EAFDE02E6D46}"/>
    <cellStyle name="Normal 5 5 2 9" xfId="9062" xr:uid="{0128B6EF-9693-4ED0-851C-A52B67284513}"/>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F16DD63C-1681-4364-8846-16F166D907E4}"/>
    <cellStyle name="Normal 5 5 3 2 2 3" xfId="11622" xr:uid="{1DA3BDE7-5043-44D0-A42D-06FE302F6EA0}"/>
    <cellStyle name="Normal 5 5 3 2 3" xfId="5253" xr:uid="{00000000-0005-0000-0000-0000791B0000}"/>
    <cellStyle name="Normal 5 5 3 2 3 2" xfId="13695" xr:uid="{8D280211-68D4-4A86-ACB6-4282FD7E6FC9}"/>
    <cellStyle name="Normal 5 5 3 2 4" xfId="9477" xr:uid="{7D6116AE-9EC0-4686-A279-7EA2120F55B0}"/>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E4FD354E-FC7B-4894-8093-D4A0127B2DF8}"/>
    <cellStyle name="Normal 5 5 3 3 2 3" xfId="12035" xr:uid="{488AACE9-7886-4DBD-BD37-658A342B981F}"/>
    <cellStyle name="Normal 5 5 3 3 3" xfId="5666" xr:uid="{00000000-0005-0000-0000-00007D1B0000}"/>
    <cellStyle name="Normal 5 5 3 3 3 2" xfId="14108" xr:uid="{C350F0E4-6360-4708-874F-6F40996A58F1}"/>
    <cellStyle name="Normal 5 5 3 3 4" xfId="9890" xr:uid="{A2709723-1A42-4676-96FF-460222A2E2C6}"/>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CCDFA171-3901-4EAF-9756-1499DDB3414D}"/>
    <cellStyle name="Normal 5 5 3 4 2 3" xfId="12448" xr:uid="{6EE1B05D-D2D1-4289-86AA-E1F738D91D73}"/>
    <cellStyle name="Normal 5 5 3 4 3" xfId="6079" xr:uid="{00000000-0005-0000-0000-0000811B0000}"/>
    <cellStyle name="Normal 5 5 3 4 3 2" xfId="14521" xr:uid="{180F4550-AA5F-4152-ACFE-48976AEC95D0}"/>
    <cellStyle name="Normal 5 5 3 4 4" xfId="10303" xr:uid="{611C4EE0-BFE2-4CD4-B2CB-A36B18B2F364}"/>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B4CD1C1D-10F4-48D4-8666-8C5FB94FFF77}"/>
    <cellStyle name="Normal 5 5 3 5 2 3" xfId="12861" xr:uid="{59E95A86-1EAF-4520-8E70-4BC9D929C4A6}"/>
    <cellStyle name="Normal 5 5 3 5 3" xfId="6492" xr:uid="{00000000-0005-0000-0000-0000851B0000}"/>
    <cellStyle name="Normal 5 5 3 5 3 2" xfId="14934" xr:uid="{3C11605B-3915-48CC-944F-951C72A7B3AA}"/>
    <cellStyle name="Normal 5 5 3 5 4" xfId="10716" xr:uid="{5ED6E009-CFD6-4A83-9634-968CA55DCF7A}"/>
    <cellStyle name="Normal 5 5 3 6" xfId="2621" xr:uid="{00000000-0005-0000-0000-0000861B0000}"/>
    <cellStyle name="Normal 5 5 3 6 2" xfId="6905" xr:uid="{00000000-0005-0000-0000-0000871B0000}"/>
    <cellStyle name="Normal 5 5 3 6 2 2" xfId="15347" xr:uid="{C944E3C8-B232-46E3-B46A-47550D0CD94B}"/>
    <cellStyle name="Normal 5 5 3 6 3" xfId="11129" xr:uid="{DE55E6C0-6BD4-4162-926C-D8CEE4A4D26A}"/>
    <cellStyle name="Normal 5 5 3 7" xfId="4840" xr:uid="{00000000-0005-0000-0000-0000881B0000}"/>
    <cellStyle name="Normal 5 5 3 7 2" xfId="13282" xr:uid="{9C823F7B-DFA2-4C50-8969-2CEDC8030B93}"/>
    <cellStyle name="Normal 5 5 3 8" xfId="9064" xr:uid="{BBE95116-D2BE-4125-BBAE-E7AC3EDE9493}"/>
    <cellStyle name="Normal 5 5 4" xfId="938" xr:uid="{00000000-0005-0000-0000-0000891B0000}"/>
    <cellStyle name="Normal 5 5 4 2" xfId="3172" xr:uid="{00000000-0005-0000-0000-00008A1B0000}"/>
    <cellStyle name="Normal 5 5 4 2 2" xfId="7395" xr:uid="{00000000-0005-0000-0000-00008B1B0000}"/>
    <cellStyle name="Normal 5 5 4 2 2 2" xfId="15837" xr:uid="{A170AC15-FA60-4B5A-B0F7-5A29CECF7979}"/>
    <cellStyle name="Normal 5 5 4 2 3" xfId="11619" xr:uid="{BC3C8124-6559-4C70-82C2-7D7A0542E637}"/>
    <cellStyle name="Normal 5 5 4 3" xfId="5250" xr:uid="{00000000-0005-0000-0000-00008C1B0000}"/>
    <cellStyle name="Normal 5 5 4 3 2" xfId="13692" xr:uid="{789795B2-88F3-4722-843F-F84ED92FEC6B}"/>
    <cellStyle name="Normal 5 5 4 4" xfId="9474" xr:uid="{CA93B42E-45D7-4127-B545-B1931B9E1464}"/>
    <cellStyle name="Normal 5 5 5" xfId="1355" xr:uid="{00000000-0005-0000-0000-00008D1B0000}"/>
    <cellStyle name="Normal 5 5 5 2" xfId="3585" xr:uid="{00000000-0005-0000-0000-00008E1B0000}"/>
    <cellStyle name="Normal 5 5 5 2 2" xfId="7808" xr:uid="{00000000-0005-0000-0000-00008F1B0000}"/>
    <cellStyle name="Normal 5 5 5 2 2 2" xfId="16250" xr:uid="{86AA114A-B91C-42E6-8D88-5A3302AA9264}"/>
    <cellStyle name="Normal 5 5 5 2 3" xfId="12032" xr:uid="{52994376-7E6A-4520-B14E-C2458556A79B}"/>
    <cellStyle name="Normal 5 5 5 3" xfId="5663" xr:uid="{00000000-0005-0000-0000-0000901B0000}"/>
    <cellStyle name="Normal 5 5 5 3 2" xfId="14105" xr:uid="{240C8A6A-2344-4F85-A33F-99BB95C5D066}"/>
    <cellStyle name="Normal 5 5 5 4" xfId="9887" xr:uid="{15CCF309-6230-49C4-98BC-67D8A50BAC51}"/>
    <cellStyle name="Normal 5 5 6" xfId="1768" xr:uid="{00000000-0005-0000-0000-0000911B0000}"/>
    <cellStyle name="Normal 5 5 6 2" xfId="3998" xr:uid="{00000000-0005-0000-0000-0000921B0000}"/>
    <cellStyle name="Normal 5 5 6 2 2" xfId="8221" xr:uid="{00000000-0005-0000-0000-0000931B0000}"/>
    <cellStyle name="Normal 5 5 6 2 2 2" xfId="16663" xr:uid="{072E2540-2B86-480B-BBEA-DF3B94464E1D}"/>
    <cellStyle name="Normal 5 5 6 2 3" xfId="12445" xr:uid="{D553591E-1F71-41C6-BF9F-49D7D3B1A900}"/>
    <cellStyle name="Normal 5 5 6 3" xfId="6076" xr:uid="{00000000-0005-0000-0000-0000941B0000}"/>
    <cellStyle name="Normal 5 5 6 3 2" xfId="14518" xr:uid="{A3C5709A-C12D-475B-8BCA-DE89ED311A9E}"/>
    <cellStyle name="Normal 5 5 6 4" xfId="10300" xr:uid="{A5EC06A6-C6F7-4144-A4CC-6D2C0FF1798F}"/>
    <cellStyle name="Normal 5 5 7" xfId="2182" xr:uid="{00000000-0005-0000-0000-0000951B0000}"/>
    <cellStyle name="Normal 5 5 7 2" xfId="4411" xr:uid="{00000000-0005-0000-0000-0000961B0000}"/>
    <cellStyle name="Normal 5 5 7 2 2" xfId="8634" xr:uid="{00000000-0005-0000-0000-0000971B0000}"/>
    <cellStyle name="Normal 5 5 7 2 2 2" xfId="17076" xr:uid="{958F7934-0C3A-410C-BA57-C74618F68E3F}"/>
    <cellStyle name="Normal 5 5 7 2 3" xfId="12858" xr:uid="{203D7A32-2F10-4B91-8BE7-8A5DDF56E642}"/>
    <cellStyle name="Normal 5 5 7 3" xfId="6489" xr:uid="{00000000-0005-0000-0000-0000981B0000}"/>
    <cellStyle name="Normal 5 5 7 3 2" xfId="14931" xr:uid="{3683FDA3-A3EA-4CD7-A665-DBE27FB9F760}"/>
    <cellStyle name="Normal 5 5 7 4" xfId="10713" xr:uid="{892763BF-8F83-4E62-A75D-BD1D613B3A5D}"/>
    <cellStyle name="Normal 5 5 8" xfId="2618" xr:uid="{00000000-0005-0000-0000-0000991B0000}"/>
    <cellStyle name="Normal 5 5 8 2" xfId="6902" xr:uid="{00000000-0005-0000-0000-00009A1B0000}"/>
    <cellStyle name="Normal 5 5 8 2 2" xfId="15344" xr:uid="{B727379F-D43B-4F72-8D3D-71E56372A0C3}"/>
    <cellStyle name="Normal 5 5 8 3" xfId="11126" xr:uid="{C9C7D6C7-5AF3-458F-A72E-53E1ED2FACAC}"/>
    <cellStyle name="Normal 5 5 9" xfId="4837" xr:uid="{00000000-0005-0000-0000-00009B1B0000}"/>
    <cellStyle name="Normal 5 5 9 2" xfId="13279" xr:uid="{366B4A7D-57C7-41E5-8DC4-31460CD6FB7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8B591809-0C69-4095-B9F9-A6B69BEBD6D6}"/>
    <cellStyle name="Normal 5 6 2 2 2 3" xfId="11624" xr:uid="{A51185E9-EF1C-40FD-A8B1-BC8B0AC65B46}"/>
    <cellStyle name="Normal 5 6 2 2 3" xfId="5255" xr:uid="{00000000-0005-0000-0000-0000A11B0000}"/>
    <cellStyle name="Normal 5 6 2 2 3 2" xfId="13697" xr:uid="{C19DDD0A-0332-4C59-9DC9-AC212A534F67}"/>
    <cellStyle name="Normal 5 6 2 2 4" xfId="9479" xr:uid="{4D6C6AAD-B776-4709-886C-A32BBA952A2D}"/>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26149AC6-FB4D-46EE-BF47-43BCE990E387}"/>
    <cellStyle name="Normal 5 6 2 3 2 3" xfId="12037" xr:uid="{9A30D48A-8A10-40DE-BFFD-D1F17F9195D5}"/>
    <cellStyle name="Normal 5 6 2 3 3" xfId="5668" xr:uid="{00000000-0005-0000-0000-0000A51B0000}"/>
    <cellStyle name="Normal 5 6 2 3 3 2" xfId="14110" xr:uid="{18C9E7BB-35C3-4BF4-90CB-B51994CC486D}"/>
    <cellStyle name="Normal 5 6 2 3 4" xfId="9892" xr:uid="{187DD2E6-7DCE-4996-91AE-6882D46B09E6}"/>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0742B689-873E-4B2E-9E2C-12651D109621}"/>
    <cellStyle name="Normal 5 6 2 4 2 3" xfId="12450" xr:uid="{CF59524C-9E60-40D8-AE3E-BC65C2A4C7C6}"/>
    <cellStyle name="Normal 5 6 2 4 3" xfId="6081" xr:uid="{00000000-0005-0000-0000-0000A91B0000}"/>
    <cellStyle name="Normal 5 6 2 4 3 2" xfId="14523" xr:uid="{B94C87C5-EBBD-4CA6-A6D2-AA035F6F9486}"/>
    <cellStyle name="Normal 5 6 2 4 4" xfId="10305" xr:uid="{1559C0DC-E880-4F40-AF4A-CF7EE6B5137A}"/>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C797864E-BE7B-4C21-AB98-AF9F6C78F23D}"/>
    <cellStyle name="Normal 5 6 2 5 2 3" xfId="12863" xr:uid="{FED36FF8-6716-49C4-B8F4-9C4EC277397F}"/>
    <cellStyle name="Normal 5 6 2 5 3" xfId="6494" xr:uid="{00000000-0005-0000-0000-0000AD1B0000}"/>
    <cellStyle name="Normal 5 6 2 5 3 2" xfId="14936" xr:uid="{90088F37-1B75-43C9-B02C-073573D8D88E}"/>
    <cellStyle name="Normal 5 6 2 5 4" xfId="10718" xr:uid="{61FC5AF5-1DDC-4042-AA52-D72C5AC4617A}"/>
    <cellStyle name="Normal 5 6 2 6" xfId="2623" xr:uid="{00000000-0005-0000-0000-0000AE1B0000}"/>
    <cellStyle name="Normal 5 6 2 6 2" xfId="6907" xr:uid="{00000000-0005-0000-0000-0000AF1B0000}"/>
    <cellStyle name="Normal 5 6 2 6 2 2" xfId="15349" xr:uid="{3A5E9D1F-F656-448C-B242-896D300B0F3A}"/>
    <cellStyle name="Normal 5 6 2 6 3" xfId="11131" xr:uid="{36CCB24B-82A6-4EA4-BA6B-CC863184C8FA}"/>
    <cellStyle name="Normal 5 6 2 7" xfId="4842" xr:uid="{00000000-0005-0000-0000-0000B01B0000}"/>
    <cellStyle name="Normal 5 6 2 7 2" xfId="13284" xr:uid="{F02DE9DC-0CED-4282-847F-096A31220751}"/>
    <cellStyle name="Normal 5 6 2 8" xfId="9066" xr:uid="{352CCD2F-5326-4757-BB31-0C5C446E15C6}"/>
    <cellStyle name="Normal 5 6 3" xfId="942" xr:uid="{00000000-0005-0000-0000-0000B11B0000}"/>
    <cellStyle name="Normal 5 6 3 2" xfId="3176" xr:uid="{00000000-0005-0000-0000-0000B21B0000}"/>
    <cellStyle name="Normal 5 6 3 2 2" xfId="7399" xr:uid="{00000000-0005-0000-0000-0000B31B0000}"/>
    <cellStyle name="Normal 5 6 3 2 2 2" xfId="15841" xr:uid="{C65843A4-E86E-4601-B6B4-71D8A74F2643}"/>
    <cellStyle name="Normal 5 6 3 2 3" xfId="11623" xr:uid="{50E806B7-9758-4408-AAB8-68CA070CA2EE}"/>
    <cellStyle name="Normal 5 6 3 3" xfId="5254" xr:uid="{00000000-0005-0000-0000-0000B41B0000}"/>
    <cellStyle name="Normal 5 6 3 3 2" xfId="13696" xr:uid="{A9E40F0C-3341-4A5C-8441-66E3934458BF}"/>
    <cellStyle name="Normal 5 6 3 4" xfId="9478" xr:uid="{B79A047E-C708-494E-8E9E-6D4282A232C4}"/>
    <cellStyle name="Normal 5 6 4" xfId="1359" xr:uid="{00000000-0005-0000-0000-0000B51B0000}"/>
    <cellStyle name="Normal 5 6 4 2" xfId="3589" xr:uid="{00000000-0005-0000-0000-0000B61B0000}"/>
    <cellStyle name="Normal 5 6 4 2 2" xfId="7812" xr:uid="{00000000-0005-0000-0000-0000B71B0000}"/>
    <cellStyle name="Normal 5 6 4 2 2 2" xfId="16254" xr:uid="{B2050A22-8724-4BA4-9654-A37B2AF6982D}"/>
    <cellStyle name="Normal 5 6 4 2 3" xfId="12036" xr:uid="{C082F0AF-6373-4DD0-B7DB-DAD85BC4EB48}"/>
    <cellStyle name="Normal 5 6 4 3" xfId="5667" xr:uid="{00000000-0005-0000-0000-0000B81B0000}"/>
    <cellStyle name="Normal 5 6 4 3 2" xfId="14109" xr:uid="{1B786064-6B47-4499-B1B8-0B34B0461C13}"/>
    <cellStyle name="Normal 5 6 4 4" xfId="9891" xr:uid="{EF3667CB-318F-4D44-8969-505524B34C59}"/>
    <cellStyle name="Normal 5 6 5" xfId="1772" xr:uid="{00000000-0005-0000-0000-0000B91B0000}"/>
    <cellStyle name="Normal 5 6 5 2" xfId="4002" xr:uid="{00000000-0005-0000-0000-0000BA1B0000}"/>
    <cellStyle name="Normal 5 6 5 2 2" xfId="8225" xr:uid="{00000000-0005-0000-0000-0000BB1B0000}"/>
    <cellStyle name="Normal 5 6 5 2 2 2" xfId="16667" xr:uid="{6A698C5D-DBB4-4993-8165-92844C57E3DC}"/>
    <cellStyle name="Normal 5 6 5 2 3" xfId="12449" xr:uid="{F5005142-6826-4E01-B111-AD5A1124292A}"/>
    <cellStyle name="Normal 5 6 5 3" xfId="6080" xr:uid="{00000000-0005-0000-0000-0000BC1B0000}"/>
    <cellStyle name="Normal 5 6 5 3 2" xfId="14522" xr:uid="{40D9C9E4-3CF4-4BC7-B180-1B68AA716064}"/>
    <cellStyle name="Normal 5 6 5 4" xfId="10304" xr:uid="{8F702DAF-D995-4EED-9005-28E1D5B54C0C}"/>
    <cellStyle name="Normal 5 6 6" xfId="2186" xr:uid="{00000000-0005-0000-0000-0000BD1B0000}"/>
    <cellStyle name="Normal 5 6 6 2" xfId="4415" xr:uid="{00000000-0005-0000-0000-0000BE1B0000}"/>
    <cellStyle name="Normal 5 6 6 2 2" xfId="8638" xr:uid="{00000000-0005-0000-0000-0000BF1B0000}"/>
    <cellStyle name="Normal 5 6 6 2 2 2" xfId="17080" xr:uid="{7EF4A163-C3E2-4E9B-8140-17D1A19D3A56}"/>
    <cellStyle name="Normal 5 6 6 2 3" xfId="12862" xr:uid="{2B23F720-6533-40FF-98D5-FD5FDEDA509E}"/>
    <cellStyle name="Normal 5 6 6 3" xfId="6493" xr:uid="{00000000-0005-0000-0000-0000C01B0000}"/>
    <cellStyle name="Normal 5 6 6 3 2" xfId="14935" xr:uid="{DD214C46-5946-4834-8952-336CE003889A}"/>
    <cellStyle name="Normal 5 6 6 4" xfId="10717" xr:uid="{B913823A-4CD7-4215-AA02-104AF219BB37}"/>
    <cellStyle name="Normal 5 6 7" xfId="2622" xr:uid="{00000000-0005-0000-0000-0000C11B0000}"/>
    <cellStyle name="Normal 5 6 7 2" xfId="6906" xr:uid="{00000000-0005-0000-0000-0000C21B0000}"/>
    <cellStyle name="Normal 5 6 7 2 2" xfId="15348" xr:uid="{ECDF6E7A-7F9D-4FB2-8B17-2A3458D292E6}"/>
    <cellStyle name="Normal 5 6 7 3" xfId="11130" xr:uid="{EA5FAA25-E2B1-4D28-AAD0-8B1A5DAED387}"/>
    <cellStyle name="Normal 5 6 8" xfId="4841" xr:uid="{00000000-0005-0000-0000-0000C31B0000}"/>
    <cellStyle name="Normal 5 6 8 2" xfId="13283" xr:uid="{3DE0F75F-A070-422A-9079-0E9B161E69AD}"/>
    <cellStyle name="Normal 5 6 9" xfId="9065" xr:uid="{253BA207-E6A7-4FEA-884B-0B3D8DBD331D}"/>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786535B2-3511-4BE0-94A3-AE2A3224DFDE}"/>
    <cellStyle name="Normal 5 7 2 2 3" xfId="11625" xr:uid="{FABE93D9-634F-4A92-B5FC-6453D5FA3660}"/>
    <cellStyle name="Normal 5 7 2 3" xfId="5256" xr:uid="{00000000-0005-0000-0000-0000C81B0000}"/>
    <cellStyle name="Normal 5 7 2 3 2" xfId="13698" xr:uid="{928BBC61-F73A-49FA-9481-54D0A218B982}"/>
    <cellStyle name="Normal 5 7 2 4" xfId="9480" xr:uid="{A4362069-E2C8-4726-990C-706E4D86BE17}"/>
    <cellStyle name="Normal 5 7 3" xfId="1361" xr:uid="{00000000-0005-0000-0000-0000C91B0000}"/>
    <cellStyle name="Normal 5 7 3 2" xfId="3591" xr:uid="{00000000-0005-0000-0000-0000CA1B0000}"/>
    <cellStyle name="Normal 5 7 3 2 2" xfId="7814" xr:uid="{00000000-0005-0000-0000-0000CB1B0000}"/>
    <cellStyle name="Normal 5 7 3 2 2 2" xfId="16256" xr:uid="{54210B81-5D69-44ED-8CD9-262F17A90F5D}"/>
    <cellStyle name="Normal 5 7 3 2 3" xfId="12038" xr:uid="{379DC4D2-E18A-4EEC-9CE5-FADE11BEA82A}"/>
    <cellStyle name="Normal 5 7 3 3" xfId="5669" xr:uid="{00000000-0005-0000-0000-0000CC1B0000}"/>
    <cellStyle name="Normal 5 7 3 3 2" xfId="14111" xr:uid="{A53BE81E-E355-4EC5-B6DA-87149F1BA558}"/>
    <cellStyle name="Normal 5 7 3 4" xfId="9893" xr:uid="{2F0DB1CE-77C1-41A2-B485-C79EDCD183C1}"/>
    <cellStyle name="Normal 5 7 4" xfId="1774" xr:uid="{00000000-0005-0000-0000-0000CD1B0000}"/>
    <cellStyle name="Normal 5 7 4 2" xfId="4004" xr:uid="{00000000-0005-0000-0000-0000CE1B0000}"/>
    <cellStyle name="Normal 5 7 4 2 2" xfId="8227" xr:uid="{00000000-0005-0000-0000-0000CF1B0000}"/>
    <cellStyle name="Normal 5 7 4 2 2 2" xfId="16669" xr:uid="{3DB7A461-90E4-4B81-9780-4BDB7E5198A0}"/>
    <cellStyle name="Normal 5 7 4 2 3" xfId="12451" xr:uid="{B57F8026-9D11-48CD-A910-42D04C875924}"/>
    <cellStyle name="Normal 5 7 4 3" xfId="6082" xr:uid="{00000000-0005-0000-0000-0000D01B0000}"/>
    <cellStyle name="Normal 5 7 4 3 2" xfId="14524" xr:uid="{40D0BC95-7F83-41FD-95A0-FEB4CE12FD1E}"/>
    <cellStyle name="Normal 5 7 4 4" xfId="10306" xr:uid="{469E2821-F3E5-4883-BE27-BC365ADDB926}"/>
    <cellStyle name="Normal 5 7 5" xfId="2188" xr:uid="{00000000-0005-0000-0000-0000D11B0000}"/>
    <cellStyle name="Normal 5 7 5 2" xfId="4417" xr:uid="{00000000-0005-0000-0000-0000D21B0000}"/>
    <cellStyle name="Normal 5 7 5 2 2" xfId="8640" xr:uid="{00000000-0005-0000-0000-0000D31B0000}"/>
    <cellStyle name="Normal 5 7 5 2 2 2" xfId="17082" xr:uid="{1CD7320E-C878-48A9-BEAE-B3C8487F10D6}"/>
    <cellStyle name="Normal 5 7 5 2 3" xfId="12864" xr:uid="{4D8F97BE-D4CE-4793-A17D-325965CA9D10}"/>
    <cellStyle name="Normal 5 7 5 3" xfId="6495" xr:uid="{00000000-0005-0000-0000-0000D41B0000}"/>
    <cellStyle name="Normal 5 7 5 3 2" xfId="14937" xr:uid="{D94817D3-947F-45AF-A1B1-F59CCB55AE84}"/>
    <cellStyle name="Normal 5 7 5 4" xfId="10719" xr:uid="{94214597-C6F0-4737-BC10-36ED310DBAAA}"/>
    <cellStyle name="Normal 5 7 6" xfId="2624" xr:uid="{00000000-0005-0000-0000-0000D51B0000}"/>
    <cellStyle name="Normal 5 7 6 2" xfId="6908" xr:uid="{00000000-0005-0000-0000-0000D61B0000}"/>
    <cellStyle name="Normal 5 7 6 2 2" xfId="15350" xr:uid="{CEEF9AA8-B218-4E79-8491-F14AB44245BF}"/>
    <cellStyle name="Normal 5 7 6 3" xfId="11132" xr:uid="{F814942C-F673-4AED-ABF7-937148B5CECF}"/>
    <cellStyle name="Normal 5 7 7" xfId="4843" xr:uid="{00000000-0005-0000-0000-0000D71B0000}"/>
    <cellStyle name="Normal 5 7 7 2" xfId="13285" xr:uid="{51394368-8878-4FFF-9097-A8284604F74D}"/>
    <cellStyle name="Normal 5 7 8" xfId="9067" xr:uid="{0788D9CC-1900-4BCE-A588-1941709F6124}"/>
    <cellStyle name="Normal 5 8" xfId="880" xr:uid="{00000000-0005-0000-0000-0000D81B0000}"/>
    <cellStyle name="Normal 5 8 2" xfId="3115" xr:uid="{00000000-0005-0000-0000-0000D91B0000}"/>
    <cellStyle name="Normal 5 8 2 2" xfId="7338" xr:uid="{00000000-0005-0000-0000-0000DA1B0000}"/>
    <cellStyle name="Normal 5 8 2 2 2" xfId="15780" xr:uid="{586EF7D6-89F0-4BD6-B628-D01CBEB648D2}"/>
    <cellStyle name="Normal 5 8 2 3" xfId="11562" xr:uid="{0F69634C-98C9-4C33-AF88-B542C1B96691}"/>
    <cellStyle name="Normal 5 8 3" xfId="5193" xr:uid="{00000000-0005-0000-0000-0000DB1B0000}"/>
    <cellStyle name="Normal 5 8 3 2" xfId="13635" xr:uid="{F04BE92B-5BBA-4A05-BB67-B7654FF71A1D}"/>
    <cellStyle name="Normal 5 8 4" xfId="9417" xr:uid="{3005B145-22A8-4F0D-9BB5-66AE3E820B51}"/>
    <cellStyle name="Normal 5 9" xfId="1298" xr:uid="{00000000-0005-0000-0000-0000DC1B0000}"/>
    <cellStyle name="Normal 5 9 2" xfId="3528" xr:uid="{00000000-0005-0000-0000-0000DD1B0000}"/>
    <cellStyle name="Normal 5 9 2 2" xfId="7751" xr:uid="{00000000-0005-0000-0000-0000DE1B0000}"/>
    <cellStyle name="Normal 5 9 2 2 2" xfId="16193" xr:uid="{0B985FFA-DC62-46E6-8615-4A388E054C17}"/>
    <cellStyle name="Normal 5 9 2 3" xfId="11975" xr:uid="{E4BFB388-A74C-449C-87B3-D170CA37E263}"/>
    <cellStyle name="Normal 5 9 3" xfId="5606" xr:uid="{00000000-0005-0000-0000-0000DF1B0000}"/>
    <cellStyle name="Normal 5 9 3 2" xfId="14048" xr:uid="{94DC9F70-9CC8-44C1-B0C4-3BAB89D0804D}"/>
    <cellStyle name="Normal 5 9 4" xfId="9830" xr:uid="{D885959B-77A2-4892-9BBD-9FDB4C1C0A7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00E7117E-FDCA-4A5B-BCDA-F0A09AE78A3F}"/>
    <cellStyle name="Normal 8 10 2 3" xfId="12865" xr:uid="{BA9F303E-22CE-4D76-800D-FCC970F362D0}"/>
    <cellStyle name="Normal 8 10 3" xfId="6496" xr:uid="{00000000-0005-0000-0000-0000EB1B0000}"/>
    <cellStyle name="Normal 8 10 3 2" xfId="14938" xr:uid="{DCB7B987-26B2-46D0-B589-482B03177FBB}"/>
    <cellStyle name="Normal 8 10 4" xfId="10720" xr:uid="{D04D9D77-9A94-48AB-8204-29DAB0CD0183}"/>
    <cellStyle name="Normal 8 11" xfId="2625" xr:uid="{00000000-0005-0000-0000-0000EC1B0000}"/>
    <cellStyle name="Normal 8 11 2" xfId="6909" xr:uid="{00000000-0005-0000-0000-0000ED1B0000}"/>
    <cellStyle name="Normal 8 11 2 2" xfId="15351" xr:uid="{5133B5B8-E722-454D-B85D-ED2F166E1FC4}"/>
    <cellStyle name="Normal 8 11 3" xfId="11133" xr:uid="{44BA99EE-23DE-45CA-B02C-83B007C9BD3D}"/>
    <cellStyle name="Normal 8 12" xfId="4844" xr:uid="{00000000-0005-0000-0000-0000EE1B0000}"/>
    <cellStyle name="Normal 8 12 2" xfId="13286" xr:uid="{CE76E370-C284-44E0-BBA1-A648DB6232C3}"/>
    <cellStyle name="Normal 8 13" xfId="9068" xr:uid="{2A70AF1F-A8DB-4672-8490-5FE83AD794A0}"/>
    <cellStyle name="Normal 8 2" xfId="479" xr:uid="{00000000-0005-0000-0000-0000EF1B0000}"/>
    <cellStyle name="Normal 8 2 10" xfId="2626" xr:uid="{00000000-0005-0000-0000-0000F01B0000}"/>
    <cellStyle name="Normal 8 2 10 2" xfId="6910" xr:uid="{00000000-0005-0000-0000-0000F11B0000}"/>
    <cellStyle name="Normal 8 2 10 2 2" xfId="15352" xr:uid="{0B90CC47-481C-43ED-8A49-27B0386689BC}"/>
    <cellStyle name="Normal 8 2 10 3" xfId="11134" xr:uid="{339DCF1F-6E72-4EAF-BE56-715C8C526632}"/>
    <cellStyle name="Normal 8 2 11" xfId="4845" xr:uid="{00000000-0005-0000-0000-0000F21B0000}"/>
    <cellStyle name="Normal 8 2 11 2" xfId="13287" xr:uid="{BC0DA44B-6EF7-4D1B-AAFF-2E7895588932}"/>
    <cellStyle name="Normal 8 2 12" xfId="9069" xr:uid="{81FC2819-EA4E-438A-B131-F86F40966AF9}"/>
    <cellStyle name="Normal 8 2 2" xfId="480" xr:uid="{00000000-0005-0000-0000-0000F31B0000}"/>
    <cellStyle name="Normal 8 2 2 10" xfId="4846" xr:uid="{00000000-0005-0000-0000-0000F41B0000}"/>
    <cellStyle name="Normal 8 2 2 10 2" xfId="13288" xr:uid="{7912D734-A1FE-442B-803B-C674C239F55F}"/>
    <cellStyle name="Normal 8 2 2 11" xfId="9070" xr:uid="{EB9DB96A-B5D2-400F-8783-D361EF543625}"/>
    <cellStyle name="Normal 8 2 2 2" xfId="481" xr:uid="{00000000-0005-0000-0000-0000F51B0000}"/>
    <cellStyle name="Normal 8 2 2 2 10" xfId="9071" xr:uid="{34429218-46AA-420B-97B6-AF0E14E270BF}"/>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C496FFCA-241D-4EE5-AD92-FCCF690EC3E8}"/>
    <cellStyle name="Normal 8 2 2 2 2 2 2 2 3" xfId="11631" xr:uid="{96CADE48-FAC4-47D9-9369-535676081208}"/>
    <cellStyle name="Normal 8 2 2 2 2 2 2 3" xfId="5262" xr:uid="{00000000-0005-0000-0000-0000FB1B0000}"/>
    <cellStyle name="Normal 8 2 2 2 2 2 2 3 2" xfId="13704" xr:uid="{18903A62-C76F-4E88-B390-63BBDE7E6006}"/>
    <cellStyle name="Normal 8 2 2 2 2 2 2 4" xfId="9486" xr:uid="{2F3B827F-3B72-4BB4-ADAA-A3E5866036D6}"/>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6960D802-962E-4F0A-BEDA-4304C57F488C}"/>
    <cellStyle name="Normal 8 2 2 2 2 2 3 2 3" xfId="12044" xr:uid="{035BAF0A-557E-48C0-A9FC-F8994730A8D8}"/>
    <cellStyle name="Normal 8 2 2 2 2 2 3 3" xfId="5675" xr:uid="{00000000-0005-0000-0000-0000FF1B0000}"/>
    <cellStyle name="Normal 8 2 2 2 2 2 3 3 2" xfId="14117" xr:uid="{3D86FD0C-A517-4C5B-9488-97860343F2A6}"/>
    <cellStyle name="Normal 8 2 2 2 2 2 3 4" xfId="9899" xr:uid="{45501337-00E6-429F-89F4-B8F1E84B44E9}"/>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E1A27FDC-B097-4CA2-AD5F-EAFE3C46EAEA}"/>
    <cellStyle name="Normal 8 2 2 2 2 2 4 2 3" xfId="12457" xr:uid="{A39EBF6B-3ADB-441F-8450-7C15F3C47B4D}"/>
    <cellStyle name="Normal 8 2 2 2 2 2 4 3" xfId="6088" xr:uid="{00000000-0005-0000-0000-0000031C0000}"/>
    <cellStyle name="Normal 8 2 2 2 2 2 4 3 2" xfId="14530" xr:uid="{3640830A-AFFB-4766-BD12-5BC85D5B5BF7}"/>
    <cellStyle name="Normal 8 2 2 2 2 2 4 4" xfId="10312" xr:uid="{8C09F434-86AA-4D21-903F-54545B5425FF}"/>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52A253FB-BE69-4FBC-8ACA-7275F9699ADA}"/>
    <cellStyle name="Normal 8 2 2 2 2 2 5 2 3" xfId="12870" xr:uid="{1C79339D-58C4-4854-84A0-03D5F9171C3D}"/>
    <cellStyle name="Normal 8 2 2 2 2 2 5 3" xfId="6501" xr:uid="{00000000-0005-0000-0000-0000071C0000}"/>
    <cellStyle name="Normal 8 2 2 2 2 2 5 3 2" xfId="14943" xr:uid="{CC5B9BCA-9E74-4696-9E9A-1978041B93A2}"/>
    <cellStyle name="Normal 8 2 2 2 2 2 5 4" xfId="10725" xr:uid="{AD37731D-25D1-4B8E-9406-E6D4010232B6}"/>
    <cellStyle name="Normal 8 2 2 2 2 2 6" xfId="2630" xr:uid="{00000000-0005-0000-0000-0000081C0000}"/>
    <cellStyle name="Normal 8 2 2 2 2 2 6 2" xfId="6914" xr:uid="{00000000-0005-0000-0000-0000091C0000}"/>
    <cellStyle name="Normal 8 2 2 2 2 2 6 2 2" xfId="15356" xr:uid="{8D2CF8D6-3F90-41AE-ABFE-19E4040BCBF8}"/>
    <cellStyle name="Normal 8 2 2 2 2 2 6 3" xfId="11138" xr:uid="{D9686FAB-B09D-420A-BCA5-33E4D7988B25}"/>
    <cellStyle name="Normal 8 2 2 2 2 2 7" xfId="4849" xr:uid="{00000000-0005-0000-0000-00000A1C0000}"/>
    <cellStyle name="Normal 8 2 2 2 2 2 7 2" xfId="13291" xr:uid="{C2C03BE6-1272-47AD-8D8A-E1E55E2E8262}"/>
    <cellStyle name="Normal 8 2 2 2 2 2 8" xfId="9073" xr:uid="{8DEB99DF-52BE-43AE-BF92-7E9D65488952}"/>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1811EA4A-97B4-4504-94B8-E0524F82C7D5}"/>
    <cellStyle name="Normal 8 2 2 2 2 3 2 3" xfId="11630" xr:uid="{659FC1A0-F7A1-4E78-927F-D4D127091918}"/>
    <cellStyle name="Normal 8 2 2 2 2 3 3" xfId="5261" xr:uid="{00000000-0005-0000-0000-00000E1C0000}"/>
    <cellStyle name="Normal 8 2 2 2 2 3 3 2" xfId="13703" xr:uid="{90EBD5D6-D6B8-42F4-A6A1-2F8E95C2EAC0}"/>
    <cellStyle name="Normal 8 2 2 2 2 3 4" xfId="9485" xr:uid="{FB2E0C29-6365-4328-99ED-736DB0FB7A8B}"/>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54465782-D4F6-4661-85B7-F51A8D4EBF92}"/>
    <cellStyle name="Normal 8 2 2 2 2 4 2 3" xfId="12043" xr:uid="{6DBF024A-989F-4ACB-B0A8-E1D1FDE5DB2B}"/>
    <cellStyle name="Normal 8 2 2 2 2 4 3" xfId="5674" xr:uid="{00000000-0005-0000-0000-0000121C0000}"/>
    <cellStyle name="Normal 8 2 2 2 2 4 3 2" xfId="14116" xr:uid="{D3B382A2-62F7-4908-B049-2659944792AC}"/>
    <cellStyle name="Normal 8 2 2 2 2 4 4" xfId="9898" xr:uid="{087ACB2E-B774-4845-ACF5-899EEB5761D1}"/>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C98DF5BF-AFE1-4FFA-849F-8663279E557D}"/>
    <cellStyle name="Normal 8 2 2 2 2 5 2 3" xfId="12456" xr:uid="{97489B7B-6AA2-4F4D-9936-919618A6BB88}"/>
    <cellStyle name="Normal 8 2 2 2 2 5 3" xfId="6087" xr:uid="{00000000-0005-0000-0000-0000161C0000}"/>
    <cellStyle name="Normal 8 2 2 2 2 5 3 2" xfId="14529" xr:uid="{47674E2B-53CA-4527-94CE-DDFBD66EFA9F}"/>
    <cellStyle name="Normal 8 2 2 2 2 5 4" xfId="10311" xr:uid="{9DECE14B-0438-4EA9-AA95-D0DFE93C152F}"/>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F851870F-B3F4-47AC-956A-C6B8323C68A8}"/>
    <cellStyle name="Normal 8 2 2 2 2 6 2 3" xfId="12869" xr:uid="{D633D42F-A90E-4C98-9D7C-204FA91D2DEB}"/>
    <cellStyle name="Normal 8 2 2 2 2 6 3" xfId="6500" xr:uid="{00000000-0005-0000-0000-00001A1C0000}"/>
    <cellStyle name="Normal 8 2 2 2 2 6 3 2" xfId="14942" xr:uid="{E22B6907-2674-4CA2-9EB5-22C61A995030}"/>
    <cellStyle name="Normal 8 2 2 2 2 6 4" xfId="10724" xr:uid="{20B6544D-2EF9-4E66-B6E0-EDAA5A95E551}"/>
    <cellStyle name="Normal 8 2 2 2 2 7" xfId="2629" xr:uid="{00000000-0005-0000-0000-00001B1C0000}"/>
    <cellStyle name="Normal 8 2 2 2 2 7 2" xfId="6913" xr:uid="{00000000-0005-0000-0000-00001C1C0000}"/>
    <cellStyle name="Normal 8 2 2 2 2 7 2 2" xfId="15355" xr:uid="{BDA33E15-4A0A-4436-B8BC-C330D96143A2}"/>
    <cellStyle name="Normal 8 2 2 2 2 7 3" xfId="11137" xr:uid="{14797CC0-4237-453E-BC71-D9BA662769B2}"/>
    <cellStyle name="Normal 8 2 2 2 2 8" xfId="4848" xr:uid="{00000000-0005-0000-0000-00001D1C0000}"/>
    <cellStyle name="Normal 8 2 2 2 2 8 2" xfId="13290" xr:uid="{5CEDA5A8-2C79-4D59-8018-5E1C56045D7E}"/>
    <cellStyle name="Normal 8 2 2 2 2 9" xfId="9072" xr:uid="{CDB71021-656E-4387-AF1D-EC072E595FD4}"/>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CB2617DC-C19A-4F08-85FD-0B1AD3AE1E0C}"/>
    <cellStyle name="Normal 8 2 2 2 3 2 2 3" xfId="11632" xr:uid="{087692DA-548C-4373-ADEB-8B135EA5599E}"/>
    <cellStyle name="Normal 8 2 2 2 3 2 3" xfId="5263" xr:uid="{00000000-0005-0000-0000-0000221C0000}"/>
    <cellStyle name="Normal 8 2 2 2 3 2 3 2" xfId="13705" xr:uid="{9DF8D41E-57DA-4CEA-B4B6-BAEDED243880}"/>
    <cellStyle name="Normal 8 2 2 2 3 2 4" xfId="9487" xr:uid="{FA33AC90-03C5-45CF-9D1D-D53E80F80CE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2BBB16EC-478C-4AC9-A6C5-C38904DDF755}"/>
    <cellStyle name="Normal 8 2 2 2 3 3 2 3" xfId="12045" xr:uid="{D23E82D7-DDA2-40E5-96B5-026411D41E4A}"/>
    <cellStyle name="Normal 8 2 2 2 3 3 3" xfId="5676" xr:uid="{00000000-0005-0000-0000-0000261C0000}"/>
    <cellStyle name="Normal 8 2 2 2 3 3 3 2" xfId="14118" xr:uid="{85AE781C-DA45-469E-B44B-D2F36828A03A}"/>
    <cellStyle name="Normal 8 2 2 2 3 3 4" xfId="9900" xr:uid="{0701CC28-3135-4513-9423-CE15D4F04115}"/>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36065B67-20FB-494E-BF3D-9F6A0A1B4E81}"/>
    <cellStyle name="Normal 8 2 2 2 3 4 2 3" xfId="12458" xr:uid="{D98453BD-A094-413A-93D0-173EAA425685}"/>
    <cellStyle name="Normal 8 2 2 2 3 4 3" xfId="6089" xr:uid="{00000000-0005-0000-0000-00002A1C0000}"/>
    <cellStyle name="Normal 8 2 2 2 3 4 3 2" xfId="14531" xr:uid="{88ADB73E-CA13-4197-919C-0C45EE224D04}"/>
    <cellStyle name="Normal 8 2 2 2 3 4 4" xfId="10313" xr:uid="{ED66D054-4CAF-4EDF-A766-BE5F7ACC4981}"/>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DC32CE42-B031-4619-BEBD-47862225FF3C}"/>
    <cellStyle name="Normal 8 2 2 2 3 5 2 3" xfId="12871" xr:uid="{2DDD3023-7510-4553-BF29-C3897E8B317E}"/>
    <cellStyle name="Normal 8 2 2 2 3 5 3" xfId="6502" xr:uid="{00000000-0005-0000-0000-00002E1C0000}"/>
    <cellStyle name="Normal 8 2 2 2 3 5 3 2" xfId="14944" xr:uid="{67B4EB3E-5DF1-42F6-BAAE-9097107C3E40}"/>
    <cellStyle name="Normal 8 2 2 2 3 5 4" xfId="10726" xr:uid="{04C6309D-2250-4A4E-B05E-9B46C4D319D9}"/>
    <cellStyle name="Normal 8 2 2 2 3 6" xfId="2631" xr:uid="{00000000-0005-0000-0000-00002F1C0000}"/>
    <cellStyle name="Normal 8 2 2 2 3 6 2" xfId="6915" xr:uid="{00000000-0005-0000-0000-0000301C0000}"/>
    <cellStyle name="Normal 8 2 2 2 3 6 2 2" xfId="15357" xr:uid="{CA5368E5-5195-4B95-8425-D4F758FF4F9D}"/>
    <cellStyle name="Normal 8 2 2 2 3 6 3" xfId="11139" xr:uid="{3E5561A3-2C5B-4ABC-98E5-ED9AEDA8655C}"/>
    <cellStyle name="Normal 8 2 2 2 3 7" xfId="4850" xr:uid="{00000000-0005-0000-0000-0000311C0000}"/>
    <cellStyle name="Normal 8 2 2 2 3 7 2" xfId="13292" xr:uid="{C955267F-50AA-4899-923F-8DF34496A5B6}"/>
    <cellStyle name="Normal 8 2 2 2 3 8" xfId="9074" xr:uid="{872AC5A3-23A2-4667-B8FE-3B32603E1F48}"/>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732D1188-96FD-4233-8024-15942C6B88C6}"/>
    <cellStyle name="Normal 8 2 2 2 4 2 3" xfId="11629" xr:uid="{3B9C0217-0006-4555-877C-9B492BC2CFAE}"/>
    <cellStyle name="Normal 8 2 2 2 4 3" xfId="5260" xr:uid="{00000000-0005-0000-0000-0000351C0000}"/>
    <cellStyle name="Normal 8 2 2 2 4 3 2" xfId="13702" xr:uid="{2D96EA8F-A566-47D9-A98E-49035C367DD3}"/>
    <cellStyle name="Normal 8 2 2 2 4 4" xfId="9484" xr:uid="{0C1AC9B4-9CEC-49D6-9D10-5791BB58C215}"/>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12B698BE-F73E-4064-83DA-C673666BACCE}"/>
    <cellStyle name="Normal 8 2 2 2 5 2 3" xfId="12042" xr:uid="{6940E51C-DFCA-41D6-A6E9-30803D6F9663}"/>
    <cellStyle name="Normal 8 2 2 2 5 3" xfId="5673" xr:uid="{00000000-0005-0000-0000-0000391C0000}"/>
    <cellStyle name="Normal 8 2 2 2 5 3 2" xfId="14115" xr:uid="{4DB2838D-4DE3-4261-8661-7CFF355BAD67}"/>
    <cellStyle name="Normal 8 2 2 2 5 4" xfId="9897" xr:uid="{38C90E30-E4F3-4C48-B86E-6EAED56A5952}"/>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DFEB6E57-8301-4A09-9954-37CDEBD2FD50}"/>
    <cellStyle name="Normal 8 2 2 2 6 2 3" xfId="12455" xr:uid="{75863B03-8490-47C5-8CBC-7A9FB3700B10}"/>
    <cellStyle name="Normal 8 2 2 2 6 3" xfId="6086" xr:uid="{00000000-0005-0000-0000-00003D1C0000}"/>
    <cellStyle name="Normal 8 2 2 2 6 3 2" xfId="14528" xr:uid="{0E83DA03-FBF6-4DE8-84EF-1986D895504D}"/>
    <cellStyle name="Normal 8 2 2 2 6 4" xfId="10310" xr:uid="{FD379BDE-B84F-4B1B-8886-66C8A3B7E1DD}"/>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2E52BB15-A128-446D-9BEA-B8DBFF64D00D}"/>
    <cellStyle name="Normal 8 2 2 2 7 2 3" xfId="12868" xr:uid="{6C4FE3F2-3244-4921-B578-A23813066E29}"/>
    <cellStyle name="Normal 8 2 2 2 7 3" xfId="6499" xr:uid="{00000000-0005-0000-0000-0000411C0000}"/>
    <cellStyle name="Normal 8 2 2 2 7 3 2" xfId="14941" xr:uid="{6A50FA8C-B7C7-4A2F-9D73-DB74EC028000}"/>
    <cellStyle name="Normal 8 2 2 2 7 4" xfId="10723" xr:uid="{6A1DB65A-98CB-4BD2-83BF-06A3D687C600}"/>
    <cellStyle name="Normal 8 2 2 2 8" xfId="2628" xr:uid="{00000000-0005-0000-0000-0000421C0000}"/>
    <cellStyle name="Normal 8 2 2 2 8 2" xfId="6912" xr:uid="{00000000-0005-0000-0000-0000431C0000}"/>
    <cellStyle name="Normal 8 2 2 2 8 2 2" xfId="15354" xr:uid="{61048452-836A-4E30-96BD-4C389FFB23EA}"/>
    <cellStyle name="Normal 8 2 2 2 8 3" xfId="11136" xr:uid="{80BDFF12-9F06-496E-A551-1027531F1C9A}"/>
    <cellStyle name="Normal 8 2 2 2 9" xfId="4847" xr:uid="{00000000-0005-0000-0000-0000441C0000}"/>
    <cellStyle name="Normal 8 2 2 2 9 2" xfId="13289" xr:uid="{0FC7F69B-C786-4C91-917F-EB7CC058DF61}"/>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B8FC0C94-F781-4189-AD36-8278FC06E871}"/>
    <cellStyle name="Normal 8 2 2 3 2 2 2 3" xfId="11634" xr:uid="{A5D3F2BF-A7F3-45F6-B975-22D04EA07AF2}"/>
    <cellStyle name="Normal 8 2 2 3 2 2 3" xfId="5265" xr:uid="{00000000-0005-0000-0000-00004A1C0000}"/>
    <cellStyle name="Normal 8 2 2 3 2 2 3 2" xfId="13707" xr:uid="{2A15C172-E2D6-465B-B3C9-9109F1EE8BDC}"/>
    <cellStyle name="Normal 8 2 2 3 2 2 4" xfId="9489" xr:uid="{90F4A3A7-E505-4CA4-B8DE-1AD47AB0B496}"/>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5F9E278C-E018-4B0B-93AD-B8293658FDAF}"/>
    <cellStyle name="Normal 8 2 2 3 2 3 2 3" xfId="12047" xr:uid="{E84F74E0-0A3F-41FF-8FE4-77001D7C6AA4}"/>
    <cellStyle name="Normal 8 2 2 3 2 3 3" xfId="5678" xr:uid="{00000000-0005-0000-0000-00004E1C0000}"/>
    <cellStyle name="Normal 8 2 2 3 2 3 3 2" xfId="14120" xr:uid="{7E882ACA-8A9D-4857-BC0B-CD5CA4CA5E39}"/>
    <cellStyle name="Normal 8 2 2 3 2 3 4" xfId="9902" xr:uid="{00A10BF4-C9D2-4DCA-B0D4-AA62CACC1749}"/>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B3FFEEFD-CB66-4018-8486-9913147F4578}"/>
    <cellStyle name="Normal 8 2 2 3 2 4 2 3" xfId="12460" xr:uid="{283D3711-BC18-41EE-821F-23F75EE0DA26}"/>
    <cellStyle name="Normal 8 2 2 3 2 4 3" xfId="6091" xr:uid="{00000000-0005-0000-0000-0000521C0000}"/>
    <cellStyle name="Normal 8 2 2 3 2 4 3 2" xfId="14533" xr:uid="{2B210AED-A4BF-43F6-A55E-5CB64EA768D5}"/>
    <cellStyle name="Normal 8 2 2 3 2 4 4" xfId="10315" xr:uid="{7939BCF3-D3A9-4F8D-A686-D23B7BA77A61}"/>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38967F22-D55E-4A18-AA7C-1DEB936E9757}"/>
    <cellStyle name="Normal 8 2 2 3 2 5 2 3" xfId="12873" xr:uid="{23DA0ACB-09D5-4E4C-90D3-CC75AB84E643}"/>
    <cellStyle name="Normal 8 2 2 3 2 5 3" xfId="6504" xr:uid="{00000000-0005-0000-0000-0000561C0000}"/>
    <cellStyle name="Normal 8 2 2 3 2 5 3 2" xfId="14946" xr:uid="{2806F0D5-C496-498E-ACB2-9488963D27D0}"/>
    <cellStyle name="Normal 8 2 2 3 2 5 4" xfId="10728" xr:uid="{C512D63D-6F35-49AA-BBCF-388530526BDC}"/>
    <cellStyle name="Normal 8 2 2 3 2 6" xfId="2633" xr:uid="{00000000-0005-0000-0000-0000571C0000}"/>
    <cellStyle name="Normal 8 2 2 3 2 6 2" xfId="6917" xr:uid="{00000000-0005-0000-0000-0000581C0000}"/>
    <cellStyle name="Normal 8 2 2 3 2 6 2 2" xfId="15359" xr:uid="{AD8411A1-3716-4E67-A031-1ABEC8A2C29E}"/>
    <cellStyle name="Normal 8 2 2 3 2 6 3" xfId="11141" xr:uid="{6E2400C7-E43B-40E2-8B64-65617AC8BAF0}"/>
    <cellStyle name="Normal 8 2 2 3 2 7" xfId="4852" xr:uid="{00000000-0005-0000-0000-0000591C0000}"/>
    <cellStyle name="Normal 8 2 2 3 2 7 2" xfId="13294" xr:uid="{F3A6BD06-454C-4711-9DEE-FBD9671AA811}"/>
    <cellStyle name="Normal 8 2 2 3 2 8" xfId="9076" xr:uid="{4FF321CC-3276-4A32-8D22-6EAED35C664E}"/>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1C0EEB2F-D555-45B8-A083-BA0F55292E27}"/>
    <cellStyle name="Normal 8 2 2 3 3 2 3" xfId="11633" xr:uid="{CADF561F-833D-43BE-8EFC-782C2A3E5D14}"/>
    <cellStyle name="Normal 8 2 2 3 3 3" xfId="5264" xr:uid="{00000000-0005-0000-0000-00005D1C0000}"/>
    <cellStyle name="Normal 8 2 2 3 3 3 2" xfId="13706" xr:uid="{3F2DB99D-3918-4983-AF0D-DFCF13E480ED}"/>
    <cellStyle name="Normal 8 2 2 3 3 4" xfId="9488" xr:uid="{BE835168-0671-41E2-8C7F-BF25AC487C2B}"/>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65E9327D-0B81-4B00-9E34-E2B510874067}"/>
    <cellStyle name="Normal 8 2 2 3 4 2 3" xfId="12046" xr:uid="{40C84023-39F7-481C-BDA9-2A85B5341456}"/>
    <cellStyle name="Normal 8 2 2 3 4 3" xfId="5677" xr:uid="{00000000-0005-0000-0000-0000611C0000}"/>
    <cellStyle name="Normal 8 2 2 3 4 3 2" xfId="14119" xr:uid="{CFA7AD0A-B0FD-4D9D-BD1C-6DCA8BA35CE9}"/>
    <cellStyle name="Normal 8 2 2 3 4 4" xfId="9901" xr:uid="{F846BF13-9917-49B6-81D5-E21E18A884E4}"/>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7C32DAB5-6F79-426F-8390-C1549722A3C4}"/>
    <cellStyle name="Normal 8 2 2 3 5 2 3" xfId="12459" xr:uid="{262AFEBE-E4B3-46F1-BFC0-1D64AA8A622E}"/>
    <cellStyle name="Normal 8 2 2 3 5 3" xfId="6090" xr:uid="{00000000-0005-0000-0000-0000651C0000}"/>
    <cellStyle name="Normal 8 2 2 3 5 3 2" xfId="14532" xr:uid="{04B9A309-822C-4B7A-B256-8A77C930565D}"/>
    <cellStyle name="Normal 8 2 2 3 5 4" xfId="10314" xr:uid="{9512D12E-AD5D-4C92-8C6B-D0AD21EF4204}"/>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74B7539F-1F73-43A4-96BF-AA0DAD372F14}"/>
    <cellStyle name="Normal 8 2 2 3 6 2 3" xfId="12872" xr:uid="{A763D42A-E54E-4CB3-BEF8-C464BB4B34AC}"/>
    <cellStyle name="Normal 8 2 2 3 6 3" xfId="6503" xr:uid="{00000000-0005-0000-0000-0000691C0000}"/>
    <cellStyle name="Normal 8 2 2 3 6 3 2" xfId="14945" xr:uid="{FA6BB454-94E3-42E5-BE4A-25FD7A4CCA90}"/>
    <cellStyle name="Normal 8 2 2 3 6 4" xfId="10727" xr:uid="{7D5112C8-327C-4772-91AC-084F7AABC62A}"/>
    <cellStyle name="Normal 8 2 2 3 7" xfId="2632" xr:uid="{00000000-0005-0000-0000-00006A1C0000}"/>
    <cellStyle name="Normal 8 2 2 3 7 2" xfId="6916" xr:uid="{00000000-0005-0000-0000-00006B1C0000}"/>
    <cellStyle name="Normal 8 2 2 3 7 2 2" xfId="15358" xr:uid="{C3F26585-DA01-4881-BDED-6ADAAFF48BF0}"/>
    <cellStyle name="Normal 8 2 2 3 7 3" xfId="11140" xr:uid="{59BE0264-7912-4F01-88BB-B86C141F2D48}"/>
    <cellStyle name="Normal 8 2 2 3 8" xfId="4851" xr:uid="{00000000-0005-0000-0000-00006C1C0000}"/>
    <cellStyle name="Normal 8 2 2 3 8 2" xfId="13293" xr:uid="{FCE8A0FC-E77C-44DC-82FB-DA21106AACE0}"/>
    <cellStyle name="Normal 8 2 2 3 9" xfId="9075" xr:uid="{85786679-58A9-4C81-BE5F-53B747207F62}"/>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814D019C-E42D-4E0B-845D-6D3FDB8FEA15}"/>
    <cellStyle name="Normal 8 2 2 4 2 2 3" xfId="11635" xr:uid="{0B8320E2-B0AE-4FB3-98A9-52802D71A9C4}"/>
    <cellStyle name="Normal 8 2 2 4 2 3" xfId="5266" xr:uid="{00000000-0005-0000-0000-0000711C0000}"/>
    <cellStyle name="Normal 8 2 2 4 2 3 2" xfId="13708" xr:uid="{19F447EE-615F-4309-B68F-C4F2E4258486}"/>
    <cellStyle name="Normal 8 2 2 4 2 4" xfId="9490" xr:uid="{15CAD750-8812-494B-8CBD-55691FDC14D0}"/>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FB58A6A5-DD6F-4CF2-A221-0EC0E31430B9}"/>
    <cellStyle name="Normal 8 2 2 4 3 2 3" xfId="12048" xr:uid="{D817C3FF-CDF7-4B16-A729-CB64B3246669}"/>
    <cellStyle name="Normal 8 2 2 4 3 3" xfId="5679" xr:uid="{00000000-0005-0000-0000-0000751C0000}"/>
    <cellStyle name="Normal 8 2 2 4 3 3 2" xfId="14121" xr:uid="{45FDB19A-74D7-4913-BC5C-EFC8277FE708}"/>
    <cellStyle name="Normal 8 2 2 4 3 4" xfId="9903" xr:uid="{AB3832DC-2C6E-44C3-A968-8A2B6DD5D58C}"/>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AD82DDC5-927D-4D37-815D-7F4A8CC64358}"/>
    <cellStyle name="Normal 8 2 2 4 4 2 3" xfId="12461" xr:uid="{4BE73235-6169-4A7F-AC91-7ED4BF545A71}"/>
    <cellStyle name="Normal 8 2 2 4 4 3" xfId="6092" xr:uid="{00000000-0005-0000-0000-0000791C0000}"/>
    <cellStyle name="Normal 8 2 2 4 4 3 2" xfId="14534" xr:uid="{ED7F34DC-D136-46CB-8882-74DA637A6E41}"/>
    <cellStyle name="Normal 8 2 2 4 4 4" xfId="10316" xr:uid="{EBD108AD-0E9A-4B49-A0A3-68170EF81A76}"/>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CEDE3C69-EB6A-4ABC-9854-225AF7A83130}"/>
    <cellStyle name="Normal 8 2 2 4 5 2 3" xfId="12874" xr:uid="{C41EDC58-A05A-47ED-A209-C5B0DF39BBC5}"/>
    <cellStyle name="Normal 8 2 2 4 5 3" xfId="6505" xr:uid="{00000000-0005-0000-0000-00007D1C0000}"/>
    <cellStyle name="Normal 8 2 2 4 5 3 2" xfId="14947" xr:uid="{39DEB93C-A3EE-496B-88D6-EFB4938B1285}"/>
    <cellStyle name="Normal 8 2 2 4 5 4" xfId="10729" xr:uid="{A9270A76-5D2C-4326-9DE6-FA31A3D21EF1}"/>
    <cellStyle name="Normal 8 2 2 4 6" xfId="2634" xr:uid="{00000000-0005-0000-0000-00007E1C0000}"/>
    <cellStyle name="Normal 8 2 2 4 6 2" xfId="6918" xr:uid="{00000000-0005-0000-0000-00007F1C0000}"/>
    <cellStyle name="Normal 8 2 2 4 6 2 2" xfId="15360" xr:uid="{974D9896-1DEC-4263-85DC-63398043B23B}"/>
    <cellStyle name="Normal 8 2 2 4 6 3" xfId="11142" xr:uid="{0B47A8D2-FA2D-4FCE-B601-034262608C18}"/>
    <cellStyle name="Normal 8 2 2 4 7" xfId="4853" xr:uid="{00000000-0005-0000-0000-0000801C0000}"/>
    <cellStyle name="Normal 8 2 2 4 7 2" xfId="13295" xr:uid="{1585D9F2-72A2-4A66-9695-62A778B89DB1}"/>
    <cellStyle name="Normal 8 2 2 4 8" xfId="9077" xr:uid="{AEDA3DD8-06E1-496A-A5A1-1E31F553343D}"/>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9C808AD5-20AD-4ABF-98D7-C8D671FE43B3}"/>
    <cellStyle name="Normal 8 2 2 5 2 3" xfId="11628" xr:uid="{293BC9F9-2BFF-4B42-BD66-86A0D09A03A0}"/>
    <cellStyle name="Normal 8 2 2 5 3" xfId="5259" xr:uid="{00000000-0005-0000-0000-0000841C0000}"/>
    <cellStyle name="Normal 8 2 2 5 3 2" xfId="13701" xr:uid="{D96B082D-C67C-4C71-9B6C-20D733E3983F}"/>
    <cellStyle name="Normal 8 2 2 5 4" xfId="9483" xr:uid="{83D08E53-30D2-4F03-A97E-89AD6628CF66}"/>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17B03E9A-3F49-4619-89D6-CAB66F37EF7E}"/>
    <cellStyle name="Normal 8 2 2 6 2 3" xfId="12041" xr:uid="{8B7A13BC-36D5-44A2-B31E-DBDF8F0CC742}"/>
    <cellStyle name="Normal 8 2 2 6 3" xfId="5672" xr:uid="{00000000-0005-0000-0000-0000881C0000}"/>
    <cellStyle name="Normal 8 2 2 6 3 2" xfId="14114" xr:uid="{0F763996-02F7-4353-B4B0-3D8584262082}"/>
    <cellStyle name="Normal 8 2 2 6 4" xfId="9896" xr:uid="{997E7A9F-5DA7-4DCD-98DB-C192E862DE3A}"/>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3DDF7A7C-DB6D-4A97-B8D5-3BA3D6ACD806}"/>
    <cellStyle name="Normal 8 2 2 7 2 3" xfId="12454" xr:uid="{AA9AA673-EDDD-46FE-AE9F-30CBB65CD2A2}"/>
    <cellStyle name="Normal 8 2 2 7 3" xfId="6085" xr:uid="{00000000-0005-0000-0000-00008C1C0000}"/>
    <cellStyle name="Normal 8 2 2 7 3 2" xfId="14527" xr:uid="{33ED46FA-AF6C-43D6-970F-5DB371130660}"/>
    <cellStyle name="Normal 8 2 2 7 4" xfId="10309" xr:uid="{EC2321C3-165C-4187-992D-394058782C8E}"/>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8CA6B784-4651-48A5-898B-3D832D0F2B1B}"/>
    <cellStyle name="Normal 8 2 2 8 2 3" xfId="12867" xr:uid="{D0CE9822-0660-4DA3-A633-AA76C0717A61}"/>
    <cellStyle name="Normal 8 2 2 8 3" xfId="6498" xr:uid="{00000000-0005-0000-0000-0000901C0000}"/>
    <cellStyle name="Normal 8 2 2 8 3 2" xfId="14940" xr:uid="{843E0C04-C505-45EC-B9F6-D5893A9096BB}"/>
    <cellStyle name="Normal 8 2 2 8 4" xfId="10722" xr:uid="{EB6B7445-6A49-47BF-BC4E-5DC722A27E96}"/>
    <cellStyle name="Normal 8 2 2 9" xfId="2627" xr:uid="{00000000-0005-0000-0000-0000911C0000}"/>
    <cellStyle name="Normal 8 2 2 9 2" xfId="6911" xr:uid="{00000000-0005-0000-0000-0000921C0000}"/>
    <cellStyle name="Normal 8 2 2 9 2 2" xfId="15353" xr:uid="{9D1AC450-109D-4FE5-B8CA-33356D741D6D}"/>
    <cellStyle name="Normal 8 2 2 9 3" xfId="11135" xr:uid="{E565B2F0-D4A3-4C1B-9F7D-C4772DBE2068}"/>
    <cellStyle name="Normal 8 2 3" xfId="488" xr:uid="{00000000-0005-0000-0000-0000931C0000}"/>
    <cellStyle name="Normal 8 2 3 10" xfId="9078" xr:uid="{2DF00345-80C7-41BC-84CD-F29D97853F0A}"/>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F9D9EE28-8050-4ECD-B59C-207AEBEB3349}"/>
    <cellStyle name="Normal 8 2 3 2 2 2 2 3" xfId="11638" xr:uid="{6E465E6D-7E26-4C30-9664-A30F3CC5EB26}"/>
    <cellStyle name="Normal 8 2 3 2 2 2 3" xfId="5269" xr:uid="{00000000-0005-0000-0000-0000991C0000}"/>
    <cellStyle name="Normal 8 2 3 2 2 2 3 2" xfId="13711" xr:uid="{2C946A8D-911A-4031-B9D9-B92117BB0A48}"/>
    <cellStyle name="Normal 8 2 3 2 2 2 4" xfId="9493" xr:uid="{46414839-03A1-457E-A53C-09289D71BBFB}"/>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FEDBC717-292D-481A-946B-8A56824099D3}"/>
    <cellStyle name="Normal 8 2 3 2 2 3 2 3" xfId="12051" xr:uid="{3470BB48-9CC3-48F4-B32C-8EE838C6E090}"/>
    <cellStyle name="Normal 8 2 3 2 2 3 3" xfId="5682" xr:uid="{00000000-0005-0000-0000-00009D1C0000}"/>
    <cellStyle name="Normal 8 2 3 2 2 3 3 2" xfId="14124" xr:uid="{73BA94D7-95F5-4999-9E64-11C85C7895E6}"/>
    <cellStyle name="Normal 8 2 3 2 2 3 4" xfId="9906" xr:uid="{D7908168-B6CC-4C79-B83C-6E1EEE41CECD}"/>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B65DF0D3-6CFB-4463-96CF-0007BFB39399}"/>
    <cellStyle name="Normal 8 2 3 2 2 4 2 3" xfId="12464" xr:uid="{21C63476-2CD3-4198-A04E-107D9E7FC918}"/>
    <cellStyle name="Normal 8 2 3 2 2 4 3" xfId="6095" xr:uid="{00000000-0005-0000-0000-0000A11C0000}"/>
    <cellStyle name="Normal 8 2 3 2 2 4 3 2" xfId="14537" xr:uid="{248078F0-2DB8-4070-BAF2-824B985A1E93}"/>
    <cellStyle name="Normal 8 2 3 2 2 4 4" xfId="10319" xr:uid="{C9F2DFA2-2FDC-4340-9392-EE9200748CA1}"/>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9F93F6A5-D71A-414A-B58F-2E86135DA220}"/>
    <cellStyle name="Normal 8 2 3 2 2 5 2 3" xfId="12877" xr:uid="{61213A1F-0E0C-463D-A0B1-2F9C28A48A2E}"/>
    <cellStyle name="Normal 8 2 3 2 2 5 3" xfId="6508" xr:uid="{00000000-0005-0000-0000-0000A51C0000}"/>
    <cellStyle name="Normal 8 2 3 2 2 5 3 2" xfId="14950" xr:uid="{06657030-D0B6-46CC-BAE0-0A62868D55E6}"/>
    <cellStyle name="Normal 8 2 3 2 2 5 4" xfId="10732" xr:uid="{83B6C3B0-E43C-4ED1-95BD-18EB56F5A3E7}"/>
    <cellStyle name="Normal 8 2 3 2 2 6" xfId="2637" xr:uid="{00000000-0005-0000-0000-0000A61C0000}"/>
    <cellStyle name="Normal 8 2 3 2 2 6 2" xfId="6921" xr:uid="{00000000-0005-0000-0000-0000A71C0000}"/>
    <cellStyle name="Normal 8 2 3 2 2 6 2 2" xfId="15363" xr:uid="{573FD191-3091-496D-ABCD-BA692C225F31}"/>
    <cellStyle name="Normal 8 2 3 2 2 6 3" xfId="11145" xr:uid="{262A653F-E94F-40FC-B5D6-27114B2FDBC9}"/>
    <cellStyle name="Normal 8 2 3 2 2 7" xfId="4856" xr:uid="{00000000-0005-0000-0000-0000A81C0000}"/>
    <cellStyle name="Normal 8 2 3 2 2 7 2" xfId="13298" xr:uid="{4332D1AF-1144-47BF-A1BC-CE1839A83702}"/>
    <cellStyle name="Normal 8 2 3 2 2 8" xfId="9080" xr:uid="{78155F84-F477-42BB-8B09-DC8550949436}"/>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A47EC680-B6FC-474E-A8DF-C725DBA1C8FA}"/>
    <cellStyle name="Normal 8 2 3 2 3 2 3" xfId="11637" xr:uid="{28509205-1DBD-4B48-B4E7-513305C566CA}"/>
    <cellStyle name="Normal 8 2 3 2 3 3" xfId="5268" xr:uid="{00000000-0005-0000-0000-0000AC1C0000}"/>
    <cellStyle name="Normal 8 2 3 2 3 3 2" xfId="13710" xr:uid="{3C2F6F62-0148-4E7C-9C00-5A3FFB594F81}"/>
    <cellStyle name="Normal 8 2 3 2 3 4" xfId="9492" xr:uid="{4DBB561F-B088-4DFD-A89F-4733147E90E8}"/>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596C21CF-AD51-4B8B-B18D-DFAD0F1E5251}"/>
    <cellStyle name="Normal 8 2 3 2 4 2 3" xfId="12050" xr:uid="{11CE44E0-1420-4D50-8092-C5B4FF36E15C}"/>
    <cellStyle name="Normal 8 2 3 2 4 3" xfId="5681" xr:uid="{00000000-0005-0000-0000-0000B01C0000}"/>
    <cellStyle name="Normal 8 2 3 2 4 3 2" xfId="14123" xr:uid="{45977F38-D186-4572-989D-21B22EA76DAD}"/>
    <cellStyle name="Normal 8 2 3 2 4 4" xfId="9905" xr:uid="{173F324A-7BAB-4541-B2C4-7180BDE4086D}"/>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4E323D7A-2EDF-47B5-86AF-247A3F8B8556}"/>
    <cellStyle name="Normal 8 2 3 2 5 2 3" xfId="12463" xr:uid="{DC995A0A-E1AD-4EAF-806F-FF96A3E9BDFE}"/>
    <cellStyle name="Normal 8 2 3 2 5 3" xfId="6094" xr:uid="{00000000-0005-0000-0000-0000B41C0000}"/>
    <cellStyle name="Normal 8 2 3 2 5 3 2" xfId="14536" xr:uid="{5A63D35B-0DEA-4534-A183-D35A01E1838A}"/>
    <cellStyle name="Normal 8 2 3 2 5 4" xfId="10318" xr:uid="{5F50790A-46A3-4E02-B6E0-12803B23E2AB}"/>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01FC07E6-3A82-4935-8D19-3F09046D485C}"/>
    <cellStyle name="Normal 8 2 3 2 6 2 3" xfId="12876" xr:uid="{6FE08587-AEDC-4575-B883-7EFD32F052E4}"/>
    <cellStyle name="Normal 8 2 3 2 6 3" xfId="6507" xr:uid="{00000000-0005-0000-0000-0000B81C0000}"/>
    <cellStyle name="Normal 8 2 3 2 6 3 2" xfId="14949" xr:uid="{2BA3008C-BC86-4D69-B013-4C9AB11D3CAC}"/>
    <cellStyle name="Normal 8 2 3 2 6 4" xfId="10731" xr:uid="{B7D68318-8D5D-4AC9-91D7-8D88DFD10A68}"/>
    <cellStyle name="Normal 8 2 3 2 7" xfId="2636" xr:uid="{00000000-0005-0000-0000-0000B91C0000}"/>
    <cellStyle name="Normal 8 2 3 2 7 2" xfId="6920" xr:uid="{00000000-0005-0000-0000-0000BA1C0000}"/>
    <cellStyle name="Normal 8 2 3 2 7 2 2" xfId="15362" xr:uid="{94545502-A722-4C46-AF2A-2B912314879C}"/>
    <cellStyle name="Normal 8 2 3 2 7 3" xfId="11144" xr:uid="{9638F1DB-04D0-40C3-9FDA-96DFBEF20AF8}"/>
    <cellStyle name="Normal 8 2 3 2 8" xfId="4855" xr:uid="{00000000-0005-0000-0000-0000BB1C0000}"/>
    <cellStyle name="Normal 8 2 3 2 8 2" xfId="13297" xr:uid="{38045A75-FCC3-4944-9166-9164419782D1}"/>
    <cellStyle name="Normal 8 2 3 2 9" xfId="9079" xr:uid="{5002D405-A168-4445-9006-7BE005D631D5}"/>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30BEBCFC-F284-4033-B009-E6C4162B9CF1}"/>
    <cellStyle name="Normal 8 2 3 3 2 2 3" xfId="11639" xr:uid="{1D3B6CD0-858B-4497-88D7-75BA740BCA30}"/>
    <cellStyle name="Normal 8 2 3 3 2 3" xfId="5270" xr:uid="{00000000-0005-0000-0000-0000C01C0000}"/>
    <cellStyle name="Normal 8 2 3 3 2 3 2" xfId="13712" xr:uid="{C7465209-BB3C-4BD9-8883-C9731DBB0723}"/>
    <cellStyle name="Normal 8 2 3 3 2 4" xfId="9494" xr:uid="{27389E4B-770D-4F0F-9B2B-4CC836267BFA}"/>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94EC1F46-E6E1-4832-B28C-413EEFEABB26}"/>
    <cellStyle name="Normal 8 2 3 3 3 2 3" xfId="12052" xr:uid="{85631E3A-AD32-4F0A-977D-9174457BAB08}"/>
    <cellStyle name="Normal 8 2 3 3 3 3" xfId="5683" xr:uid="{00000000-0005-0000-0000-0000C41C0000}"/>
    <cellStyle name="Normal 8 2 3 3 3 3 2" xfId="14125" xr:uid="{BE416FC7-F1A5-426A-8AB6-F3F668F67E52}"/>
    <cellStyle name="Normal 8 2 3 3 3 4" xfId="9907" xr:uid="{910B50AE-55E4-46FA-BDB9-0696FD4B9A4F}"/>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5DD6898B-A5D2-4F76-972C-1F0B7D18F11B}"/>
    <cellStyle name="Normal 8 2 3 3 4 2 3" xfId="12465" xr:uid="{0808F13E-DA26-493E-AEA3-FBCF3DE60E29}"/>
    <cellStyle name="Normal 8 2 3 3 4 3" xfId="6096" xr:uid="{00000000-0005-0000-0000-0000C81C0000}"/>
    <cellStyle name="Normal 8 2 3 3 4 3 2" xfId="14538" xr:uid="{C8C3A349-4204-43CA-841A-7440DCE0CECA}"/>
    <cellStyle name="Normal 8 2 3 3 4 4" xfId="10320" xr:uid="{52FC3502-244C-4A49-8ABA-A96E3871CF6B}"/>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559F89EB-565B-4BE0-A305-317F6C29BD40}"/>
    <cellStyle name="Normal 8 2 3 3 5 2 3" xfId="12878" xr:uid="{B267C0FD-D6BC-482D-B54E-D58AD211C08C}"/>
    <cellStyle name="Normal 8 2 3 3 5 3" xfId="6509" xr:uid="{00000000-0005-0000-0000-0000CC1C0000}"/>
    <cellStyle name="Normal 8 2 3 3 5 3 2" xfId="14951" xr:uid="{A644A1D9-6A76-4B1A-9B36-331D63485AB2}"/>
    <cellStyle name="Normal 8 2 3 3 5 4" xfId="10733" xr:uid="{53569CF2-8B80-47AD-B567-233B09F97AA9}"/>
    <cellStyle name="Normal 8 2 3 3 6" xfId="2638" xr:uid="{00000000-0005-0000-0000-0000CD1C0000}"/>
    <cellStyle name="Normal 8 2 3 3 6 2" xfId="6922" xr:uid="{00000000-0005-0000-0000-0000CE1C0000}"/>
    <cellStyle name="Normal 8 2 3 3 6 2 2" xfId="15364" xr:uid="{97C498EB-BED9-4449-A5C6-2CB51DA98DA5}"/>
    <cellStyle name="Normal 8 2 3 3 6 3" xfId="11146" xr:uid="{FB10DD90-23E7-4A75-948F-3B312E909A9C}"/>
    <cellStyle name="Normal 8 2 3 3 7" xfId="4857" xr:uid="{00000000-0005-0000-0000-0000CF1C0000}"/>
    <cellStyle name="Normal 8 2 3 3 7 2" xfId="13299" xr:uid="{04EC309C-12C1-4F21-8D51-08F1BB1F503C}"/>
    <cellStyle name="Normal 8 2 3 3 8" xfId="9081" xr:uid="{5095EB2E-F46F-489C-B5AA-C3486FBF978E}"/>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0157D518-68FD-4A90-B6C1-B53C90CF2135}"/>
    <cellStyle name="Normal 8 2 3 4 2 3" xfId="11636" xr:uid="{E9B18D99-279F-4384-9CEE-3789C66E4CB7}"/>
    <cellStyle name="Normal 8 2 3 4 3" xfId="5267" xr:uid="{00000000-0005-0000-0000-0000D31C0000}"/>
    <cellStyle name="Normal 8 2 3 4 3 2" xfId="13709" xr:uid="{01BAB3EE-CCCB-4ADB-A658-40A4E6D0E688}"/>
    <cellStyle name="Normal 8 2 3 4 4" xfId="9491" xr:uid="{90E1290D-5DF4-4AC4-9FB4-6E791DFDB4EB}"/>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DE332485-78FE-41C9-B175-0CA2424D8A12}"/>
    <cellStyle name="Normal 8 2 3 5 2 3" xfId="12049" xr:uid="{33431845-87C6-47EB-B46E-7618586BCBCB}"/>
    <cellStyle name="Normal 8 2 3 5 3" xfId="5680" xr:uid="{00000000-0005-0000-0000-0000D71C0000}"/>
    <cellStyle name="Normal 8 2 3 5 3 2" xfId="14122" xr:uid="{B1928D19-054A-4975-8C2D-1129FA985720}"/>
    <cellStyle name="Normal 8 2 3 5 4" xfId="9904" xr:uid="{913FA6D6-1845-4D4A-B773-DD588AA03C9B}"/>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A6B23200-D11F-4DA2-A938-34D564D6A575}"/>
    <cellStyle name="Normal 8 2 3 6 2 3" xfId="12462" xr:uid="{FFB5C3DE-2FD1-4E12-B4C1-C1A05EFCD3D6}"/>
    <cellStyle name="Normal 8 2 3 6 3" xfId="6093" xr:uid="{00000000-0005-0000-0000-0000DB1C0000}"/>
    <cellStyle name="Normal 8 2 3 6 3 2" xfId="14535" xr:uid="{9E4C8999-CFBF-4058-9899-DB43290F6537}"/>
    <cellStyle name="Normal 8 2 3 6 4" xfId="10317" xr:uid="{07207327-4BEB-4229-BDA1-1821246B743D}"/>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F72B85CE-EF2B-45C3-89F9-735D70DA3A71}"/>
    <cellStyle name="Normal 8 2 3 7 2 3" xfId="12875" xr:uid="{0985E53C-1BD7-4F0D-9A48-606B3B281A67}"/>
    <cellStyle name="Normal 8 2 3 7 3" xfId="6506" xr:uid="{00000000-0005-0000-0000-0000DF1C0000}"/>
    <cellStyle name="Normal 8 2 3 7 3 2" xfId="14948" xr:uid="{D7F49B5D-305E-4105-B5DE-DA17F7E94C6F}"/>
    <cellStyle name="Normal 8 2 3 7 4" xfId="10730" xr:uid="{487AB007-490A-4FCD-85B4-A0F710240EB3}"/>
    <cellStyle name="Normal 8 2 3 8" xfId="2635" xr:uid="{00000000-0005-0000-0000-0000E01C0000}"/>
    <cellStyle name="Normal 8 2 3 8 2" xfId="6919" xr:uid="{00000000-0005-0000-0000-0000E11C0000}"/>
    <cellStyle name="Normal 8 2 3 8 2 2" xfId="15361" xr:uid="{5356AE8D-FBC8-4E3C-9550-8083E1ECE28A}"/>
    <cellStyle name="Normal 8 2 3 8 3" xfId="11143" xr:uid="{E73AA95C-828A-4A16-8C08-73215379E845}"/>
    <cellStyle name="Normal 8 2 3 9" xfId="4854" xr:uid="{00000000-0005-0000-0000-0000E21C0000}"/>
    <cellStyle name="Normal 8 2 3 9 2" xfId="13296" xr:uid="{AD4850A9-639A-45B3-8450-DE6F9FD96BBD}"/>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548B8CEB-28BF-41D9-97C4-4DB4F726DB25}"/>
    <cellStyle name="Normal 8 2 4 2 2 2 3" xfId="11641" xr:uid="{9474FC40-E6ED-4C99-9ABE-54E3009A4981}"/>
    <cellStyle name="Normal 8 2 4 2 2 3" xfId="5272" xr:uid="{00000000-0005-0000-0000-0000E81C0000}"/>
    <cellStyle name="Normal 8 2 4 2 2 3 2" xfId="13714" xr:uid="{4F37851C-84B5-4EE3-9843-19F5246E0DB1}"/>
    <cellStyle name="Normal 8 2 4 2 2 4" xfId="9496" xr:uid="{D8C60E25-6C69-4467-B469-B776B6038ECB}"/>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9BD5E903-F8C9-4C31-B95A-B1149B7928B3}"/>
    <cellStyle name="Normal 8 2 4 2 3 2 3" xfId="12054" xr:uid="{726B1C72-5025-4415-8548-493D814036CE}"/>
    <cellStyle name="Normal 8 2 4 2 3 3" xfId="5685" xr:uid="{00000000-0005-0000-0000-0000EC1C0000}"/>
    <cellStyle name="Normal 8 2 4 2 3 3 2" xfId="14127" xr:uid="{D3DF92DD-B8ED-4C60-91D4-AD14B15A3E28}"/>
    <cellStyle name="Normal 8 2 4 2 3 4" xfId="9909" xr:uid="{DFDE9085-BB67-466D-8D97-5F6D33C9BD41}"/>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4257A240-4EBE-4C4F-8046-179A82EE1C79}"/>
    <cellStyle name="Normal 8 2 4 2 4 2 3" xfId="12467" xr:uid="{C62878BD-B1BD-43A4-93AE-D410FE556CA2}"/>
    <cellStyle name="Normal 8 2 4 2 4 3" xfId="6098" xr:uid="{00000000-0005-0000-0000-0000F01C0000}"/>
    <cellStyle name="Normal 8 2 4 2 4 3 2" xfId="14540" xr:uid="{7A7E5095-D1B7-4275-A7AE-62CFB3C73342}"/>
    <cellStyle name="Normal 8 2 4 2 4 4" xfId="10322" xr:uid="{1EFCF6A1-46B5-4D3E-A013-BF4911EB20C2}"/>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34C1D5AA-2035-4E30-9C97-CC71369A7AB5}"/>
    <cellStyle name="Normal 8 2 4 2 5 2 3" xfId="12880" xr:uid="{0E92DF17-7B29-4689-86D8-A237EAF60DDD}"/>
    <cellStyle name="Normal 8 2 4 2 5 3" xfId="6511" xr:uid="{00000000-0005-0000-0000-0000F41C0000}"/>
    <cellStyle name="Normal 8 2 4 2 5 3 2" xfId="14953" xr:uid="{A370DC0B-96CB-443F-94BA-A775ED2E9DB4}"/>
    <cellStyle name="Normal 8 2 4 2 5 4" xfId="10735" xr:uid="{590A2A22-3364-4521-A0C9-06CCB86DA6C4}"/>
    <cellStyle name="Normal 8 2 4 2 6" xfId="2640" xr:uid="{00000000-0005-0000-0000-0000F51C0000}"/>
    <cellStyle name="Normal 8 2 4 2 6 2" xfId="6924" xr:uid="{00000000-0005-0000-0000-0000F61C0000}"/>
    <cellStyle name="Normal 8 2 4 2 6 2 2" xfId="15366" xr:uid="{3AF3AA00-9EE5-4D07-AF03-FE9B5BBD2DAE}"/>
    <cellStyle name="Normal 8 2 4 2 6 3" xfId="11148" xr:uid="{68E33841-169E-481A-AE45-4E50550D7377}"/>
    <cellStyle name="Normal 8 2 4 2 7" xfId="4859" xr:uid="{00000000-0005-0000-0000-0000F71C0000}"/>
    <cellStyle name="Normal 8 2 4 2 7 2" xfId="13301" xr:uid="{913691EE-C6CB-4FB9-BB15-BBA03FE8B758}"/>
    <cellStyle name="Normal 8 2 4 2 8" xfId="9083" xr:uid="{B375C673-570A-4B56-B4EF-39A15AF7B4F2}"/>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05167D75-C9B3-4190-A3C6-D21345DC6F18}"/>
    <cellStyle name="Normal 8 2 4 3 2 3" xfId="11640" xr:uid="{07E90E88-3C0F-46B1-B46A-10B821BE2CCF}"/>
    <cellStyle name="Normal 8 2 4 3 3" xfId="5271" xr:uid="{00000000-0005-0000-0000-0000FB1C0000}"/>
    <cellStyle name="Normal 8 2 4 3 3 2" xfId="13713" xr:uid="{E5D54613-DDDE-45FA-ABB1-0275DA05970A}"/>
    <cellStyle name="Normal 8 2 4 3 4" xfId="9495" xr:uid="{55E422C5-3EB7-42DF-90A3-4353206F670B}"/>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E7430063-0645-4546-AAD7-BEA7605756FC}"/>
    <cellStyle name="Normal 8 2 4 4 2 3" xfId="12053" xr:uid="{9715C36C-9C44-4FAA-A5D6-1D85C6186BF4}"/>
    <cellStyle name="Normal 8 2 4 4 3" xfId="5684" xr:uid="{00000000-0005-0000-0000-0000FF1C0000}"/>
    <cellStyle name="Normal 8 2 4 4 3 2" xfId="14126" xr:uid="{49548A98-5E8E-42B1-B697-0147DA0E7BAF}"/>
    <cellStyle name="Normal 8 2 4 4 4" xfId="9908" xr:uid="{C1BFC775-98FB-40AD-ABE8-1C2DFB41B8B9}"/>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8A51B30D-2AEF-4942-96AD-4F14F1D373B2}"/>
    <cellStyle name="Normal 8 2 4 5 2 3" xfId="12466" xr:uid="{678D5656-685E-4C46-B8FA-9537C8D3F790}"/>
    <cellStyle name="Normal 8 2 4 5 3" xfId="6097" xr:uid="{00000000-0005-0000-0000-0000031D0000}"/>
    <cellStyle name="Normal 8 2 4 5 3 2" xfId="14539" xr:uid="{2340B388-91B0-4802-897D-DDDCC778A34C}"/>
    <cellStyle name="Normal 8 2 4 5 4" xfId="10321" xr:uid="{5AD15248-2F1E-4A44-88B8-F9F1DBDEE217}"/>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3DFE6940-A335-4760-9E69-FCF7DAD5F3B5}"/>
    <cellStyle name="Normal 8 2 4 6 2 3" xfId="12879" xr:uid="{7561BA3D-52C7-4ADE-AF1B-89C1CF0CFDE2}"/>
    <cellStyle name="Normal 8 2 4 6 3" xfId="6510" xr:uid="{00000000-0005-0000-0000-0000071D0000}"/>
    <cellStyle name="Normal 8 2 4 6 3 2" xfId="14952" xr:uid="{0B206F9B-97EC-4CC0-B480-2C0B7ABB3206}"/>
    <cellStyle name="Normal 8 2 4 6 4" xfId="10734" xr:uid="{B5148F97-3821-435D-A6DD-AFEC9F6054BE}"/>
    <cellStyle name="Normal 8 2 4 7" xfId="2639" xr:uid="{00000000-0005-0000-0000-0000081D0000}"/>
    <cellStyle name="Normal 8 2 4 7 2" xfId="6923" xr:uid="{00000000-0005-0000-0000-0000091D0000}"/>
    <cellStyle name="Normal 8 2 4 7 2 2" xfId="15365" xr:uid="{3271FB1C-64B5-48DC-9CFB-EB040FDEF9DA}"/>
    <cellStyle name="Normal 8 2 4 7 3" xfId="11147" xr:uid="{96184004-897E-4A4C-A12B-CF704B9899BC}"/>
    <cellStyle name="Normal 8 2 4 8" xfId="4858" xr:uid="{00000000-0005-0000-0000-00000A1D0000}"/>
    <cellStyle name="Normal 8 2 4 8 2" xfId="13300" xr:uid="{1E7B7B48-149B-4C8E-9961-B195A7773C0F}"/>
    <cellStyle name="Normal 8 2 4 9" xfId="9082" xr:uid="{625E2E19-29C4-4E6B-9769-75EE7748103B}"/>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6CA258B9-952F-4007-A33B-659287624D87}"/>
    <cellStyle name="Normal 8 2 5 2 2 3" xfId="11642" xr:uid="{040FBEB9-DC01-4B03-8B66-E40951AE3381}"/>
    <cellStyle name="Normal 8 2 5 2 3" xfId="5273" xr:uid="{00000000-0005-0000-0000-00000F1D0000}"/>
    <cellStyle name="Normal 8 2 5 2 3 2" xfId="13715" xr:uid="{EA31AF6A-DE3F-449F-9AAD-EFDA901B88D2}"/>
    <cellStyle name="Normal 8 2 5 2 4" xfId="9497" xr:uid="{D89BE5B5-7195-4C55-BB29-BB440FA058FF}"/>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B3822235-3FAB-42F5-94DD-A93A61F74787}"/>
    <cellStyle name="Normal 8 2 5 3 2 3" xfId="12055" xr:uid="{88371FDF-38AB-4AFE-A78D-D0DC6ED2CB14}"/>
    <cellStyle name="Normal 8 2 5 3 3" xfId="5686" xr:uid="{00000000-0005-0000-0000-0000131D0000}"/>
    <cellStyle name="Normal 8 2 5 3 3 2" xfId="14128" xr:uid="{1252DDC1-14D1-42CD-9CA3-955891D42900}"/>
    <cellStyle name="Normal 8 2 5 3 4" xfId="9910" xr:uid="{495C5A43-4D8F-48CB-BB6D-A2BB62466410}"/>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FF524572-85F5-49FC-96DE-12068EF4DBA0}"/>
    <cellStyle name="Normal 8 2 5 4 2 3" xfId="12468" xr:uid="{961C8CE6-25A7-4811-A9C3-875A875FFF2E}"/>
    <cellStyle name="Normal 8 2 5 4 3" xfId="6099" xr:uid="{00000000-0005-0000-0000-0000171D0000}"/>
    <cellStyle name="Normal 8 2 5 4 3 2" xfId="14541" xr:uid="{9965DA6F-2708-4A13-96C7-813049154956}"/>
    <cellStyle name="Normal 8 2 5 4 4" xfId="10323" xr:uid="{29E7CFE4-B57B-443B-929D-E632AABCBABE}"/>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9877E5A0-0272-4EF8-A18A-DBB3F6C32CD6}"/>
    <cellStyle name="Normal 8 2 5 5 2 3" xfId="12881" xr:uid="{BC4453F8-F527-4EDB-8281-7400D7CB5F25}"/>
    <cellStyle name="Normal 8 2 5 5 3" xfId="6512" xr:uid="{00000000-0005-0000-0000-00001B1D0000}"/>
    <cellStyle name="Normal 8 2 5 5 3 2" xfId="14954" xr:uid="{EAD1CDE7-5D51-4FD1-96F8-243F303E981D}"/>
    <cellStyle name="Normal 8 2 5 5 4" xfId="10736" xr:uid="{C7D1693A-7C91-40E0-810D-E904A686E43F}"/>
    <cellStyle name="Normal 8 2 5 6" xfId="2641" xr:uid="{00000000-0005-0000-0000-00001C1D0000}"/>
    <cellStyle name="Normal 8 2 5 6 2" xfId="6925" xr:uid="{00000000-0005-0000-0000-00001D1D0000}"/>
    <cellStyle name="Normal 8 2 5 6 2 2" xfId="15367" xr:uid="{54AC2799-919F-4DF1-9FEE-164CC0575FE0}"/>
    <cellStyle name="Normal 8 2 5 6 3" xfId="11149" xr:uid="{A9BC9F26-5371-4C98-8F99-29A3AA3C9909}"/>
    <cellStyle name="Normal 8 2 5 7" xfId="4860" xr:uid="{00000000-0005-0000-0000-00001E1D0000}"/>
    <cellStyle name="Normal 8 2 5 7 2" xfId="13302" xr:uid="{A3C07573-86E4-43F1-A332-F51C973CADA6}"/>
    <cellStyle name="Normal 8 2 5 8" xfId="9084" xr:uid="{3BFB4981-4C5B-47A2-8605-342D7EF9F29D}"/>
    <cellStyle name="Normal 8 2 6" xfId="946" xr:uid="{00000000-0005-0000-0000-00001F1D0000}"/>
    <cellStyle name="Normal 8 2 6 2" xfId="3180" xr:uid="{00000000-0005-0000-0000-0000201D0000}"/>
    <cellStyle name="Normal 8 2 6 2 2" xfId="7403" xr:uid="{00000000-0005-0000-0000-0000211D0000}"/>
    <cellStyle name="Normal 8 2 6 2 2 2" xfId="15845" xr:uid="{73590E44-A3DC-438B-A2BF-F6E0BEB8C5C6}"/>
    <cellStyle name="Normal 8 2 6 2 3" xfId="11627" xr:uid="{92F5EAF6-29B6-4A43-B7F7-D1E0F94AE5F6}"/>
    <cellStyle name="Normal 8 2 6 3" xfId="5258" xr:uid="{00000000-0005-0000-0000-0000221D0000}"/>
    <cellStyle name="Normal 8 2 6 3 2" xfId="13700" xr:uid="{87654523-119F-4469-AC98-4C96C7538D60}"/>
    <cellStyle name="Normal 8 2 6 4" xfId="9482" xr:uid="{90DE163F-F58F-4222-A3AC-DF978D916FAB}"/>
    <cellStyle name="Normal 8 2 7" xfId="1363" xr:uid="{00000000-0005-0000-0000-0000231D0000}"/>
    <cellStyle name="Normal 8 2 7 2" xfId="3593" xr:uid="{00000000-0005-0000-0000-0000241D0000}"/>
    <cellStyle name="Normal 8 2 7 2 2" xfId="7816" xr:uid="{00000000-0005-0000-0000-0000251D0000}"/>
    <cellStyle name="Normal 8 2 7 2 2 2" xfId="16258" xr:uid="{748FB6B0-B062-4F5B-9CBA-D3A6B81EF718}"/>
    <cellStyle name="Normal 8 2 7 2 3" xfId="12040" xr:uid="{85A49E98-B156-411A-BAC1-AAC38EF77AF8}"/>
    <cellStyle name="Normal 8 2 7 3" xfId="5671" xr:uid="{00000000-0005-0000-0000-0000261D0000}"/>
    <cellStyle name="Normal 8 2 7 3 2" xfId="14113" xr:uid="{CC985C01-E417-4ECF-A2C4-13E5A09E376F}"/>
    <cellStyle name="Normal 8 2 7 4" xfId="9895" xr:uid="{C7A76D7C-6E63-4797-BCDF-98E535103446}"/>
    <cellStyle name="Normal 8 2 8" xfId="1776" xr:uid="{00000000-0005-0000-0000-0000271D0000}"/>
    <cellStyle name="Normal 8 2 8 2" xfId="4006" xr:uid="{00000000-0005-0000-0000-0000281D0000}"/>
    <cellStyle name="Normal 8 2 8 2 2" xfId="8229" xr:uid="{00000000-0005-0000-0000-0000291D0000}"/>
    <cellStyle name="Normal 8 2 8 2 2 2" xfId="16671" xr:uid="{5B3B5460-E6D3-442B-A3B0-E2A27E53B003}"/>
    <cellStyle name="Normal 8 2 8 2 3" xfId="12453" xr:uid="{CA4CF731-D7F2-4F5F-B74B-EE9248911AF5}"/>
    <cellStyle name="Normal 8 2 8 3" xfId="6084" xr:uid="{00000000-0005-0000-0000-00002A1D0000}"/>
    <cellStyle name="Normal 8 2 8 3 2" xfId="14526" xr:uid="{F8D737BA-0354-4061-821D-482DCA235239}"/>
    <cellStyle name="Normal 8 2 8 4" xfId="10308" xr:uid="{27F9411B-33B1-41BD-9C49-010C2BD9D774}"/>
    <cellStyle name="Normal 8 2 9" xfId="2190" xr:uid="{00000000-0005-0000-0000-00002B1D0000}"/>
    <cellStyle name="Normal 8 2 9 2" xfId="4419" xr:uid="{00000000-0005-0000-0000-00002C1D0000}"/>
    <cellStyle name="Normal 8 2 9 2 2" xfId="8642" xr:uid="{00000000-0005-0000-0000-00002D1D0000}"/>
    <cellStyle name="Normal 8 2 9 2 2 2" xfId="17084" xr:uid="{CD9ADC45-1563-4B63-93FA-8A740081A90E}"/>
    <cellStyle name="Normal 8 2 9 2 3" xfId="12866" xr:uid="{598499AA-077A-4CC2-BC67-4694CAFDCE14}"/>
    <cellStyle name="Normal 8 2 9 3" xfId="6497" xr:uid="{00000000-0005-0000-0000-00002E1D0000}"/>
    <cellStyle name="Normal 8 2 9 3 2" xfId="14939" xr:uid="{089EDA02-3B80-4B22-8321-60BFB033AD98}"/>
    <cellStyle name="Normal 8 2 9 4" xfId="10721" xr:uid="{885A3785-1544-4D87-97E3-08368E011893}"/>
    <cellStyle name="Normal 8 3" xfId="495" xr:uid="{00000000-0005-0000-0000-00002F1D0000}"/>
    <cellStyle name="Normal 8 3 10" xfId="4861" xr:uid="{00000000-0005-0000-0000-0000301D0000}"/>
    <cellStyle name="Normal 8 3 10 2" xfId="13303" xr:uid="{FEB60DDA-06DE-40C9-A2EB-34DF78F6564C}"/>
    <cellStyle name="Normal 8 3 11" xfId="9085" xr:uid="{CC96DF4C-A10D-44B0-A894-29495BFC86AD}"/>
    <cellStyle name="Normal 8 3 2" xfId="496" xr:uid="{00000000-0005-0000-0000-0000311D0000}"/>
    <cellStyle name="Normal 8 3 2 10" xfId="9086" xr:uid="{D12B5F00-1313-4E4D-9A2F-B1D804AB1487}"/>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B3F74D47-7824-4AA1-9A8E-DC0E60421534}"/>
    <cellStyle name="Normal 8 3 2 2 2 2 2 3" xfId="11646" xr:uid="{BC8A5EEB-EF1F-4D17-9C5F-871D63652C88}"/>
    <cellStyle name="Normal 8 3 2 2 2 2 3" xfId="5277" xr:uid="{00000000-0005-0000-0000-0000371D0000}"/>
    <cellStyle name="Normal 8 3 2 2 2 2 3 2" xfId="13719" xr:uid="{9F5CF593-0AE0-42A8-BF2A-25BECA05F36F}"/>
    <cellStyle name="Normal 8 3 2 2 2 2 4" xfId="9501" xr:uid="{B046FE52-5A05-4FE4-A21E-6F1B5DAF1E7E}"/>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342C419F-BAF0-4A80-AE38-C2490768080D}"/>
    <cellStyle name="Normal 8 3 2 2 2 3 2 3" xfId="12059" xr:uid="{86EF14E2-0E17-42FF-BE4E-425C31F1D109}"/>
    <cellStyle name="Normal 8 3 2 2 2 3 3" xfId="5690" xr:uid="{00000000-0005-0000-0000-00003B1D0000}"/>
    <cellStyle name="Normal 8 3 2 2 2 3 3 2" xfId="14132" xr:uid="{8DF8A0E0-1C70-4523-A057-0FA5215D0AA2}"/>
    <cellStyle name="Normal 8 3 2 2 2 3 4" xfId="9914" xr:uid="{33E6DDDD-4686-4CD1-B657-245CCB29CF5A}"/>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DE19298D-0758-4FAC-BD0A-428504038D8F}"/>
    <cellStyle name="Normal 8 3 2 2 2 4 2 3" xfId="12472" xr:uid="{35DC399A-5C16-4205-97F1-8AED119A3521}"/>
    <cellStyle name="Normal 8 3 2 2 2 4 3" xfId="6103" xr:uid="{00000000-0005-0000-0000-00003F1D0000}"/>
    <cellStyle name="Normal 8 3 2 2 2 4 3 2" xfId="14545" xr:uid="{1F4FB8AD-0B87-4CAE-9C6C-B7DBC9BE097C}"/>
    <cellStyle name="Normal 8 3 2 2 2 4 4" xfId="10327" xr:uid="{769AE75B-240A-4991-B973-06B5304C268A}"/>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576E311B-19D0-4236-96FB-318951C2CC6B}"/>
    <cellStyle name="Normal 8 3 2 2 2 5 2 3" xfId="12885" xr:uid="{B7545590-86F2-411F-B48D-C376F471957A}"/>
    <cellStyle name="Normal 8 3 2 2 2 5 3" xfId="6516" xr:uid="{00000000-0005-0000-0000-0000431D0000}"/>
    <cellStyle name="Normal 8 3 2 2 2 5 3 2" xfId="14958" xr:uid="{79D0E5BD-C50B-4937-97D2-9A8B5763D28F}"/>
    <cellStyle name="Normal 8 3 2 2 2 5 4" xfId="10740" xr:uid="{C64D6DA8-DB17-40CD-B2E7-40F32ABA7668}"/>
    <cellStyle name="Normal 8 3 2 2 2 6" xfId="2645" xr:uid="{00000000-0005-0000-0000-0000441D0000}"/>
    <cellStyle name="Normal 8 3 2 2 2 6 2" xfId="6929" xr:uid="{00000000-0005-0000-0000-0000451D0000}"/>
    <cellStyle name="Normal 8 3 2 2 2 6 2 2" xfId="15371" xr:uid="{31DE6741-DBA4-4216-B636-D45B6AAA6791}"/>
    <cellStyle name="Normal 8 3 2 2 2 6 3" xfId="11153" xr:uid="{A5E24EA0-F454-41F7-836F-EEC35904EFE6}"/>
    <cellStyle name="Normal 8 3 2 2 2 7" xfId="4864" xr:uid="{00000000-0005-0000-0000-0000461D0000}"/>
    <cellStyle name="Normal 8 3 2 2 2 7 2" xfId="13306" xr:uid="{0251246E-E486-49DB-9828-91A360369428}"/>
    <cellStyle name="Normal 8 3 2 2 2 8" xfId="9088" xr:uid="{071EBE8C-9F01-46F1-975E-74F62F90C2FF}"/>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96C1238D-07D0-4C49-8495-8A107E4917CD}"/>
    <cellStyle name="Normal 8 3 2 2 3 2 3" xfId="11645" xr:uid="{2C8EF98A-A0C2-4433-A79E-81010268CD93}"/>
    <cellStyle name="Normal 8 3 2 2 3 3" xfId="5276" xr:uid="{00000000-0005-0000-0000-00004A1D0000}"/>
    <cellStyle name="Normal 8 3 2 2 3 3 2" xfId="13718" xr:uid="{E109FA6E-8452-4CE6-A0F0-81AA0DE041B8}"/>
    <cellStyle name="Normal 8 3 2 2 3 4" xfId="9500" xr:uid="{6CB3E018-47AE-4727-9A32-86F4C67EF16E}"/>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ADED4011-6482-4BBB-8D40-920281A46359}"/>
    <cellStyle name="Normal 8 3 2 2 4 2 3" xfId="12058" xr:uid="{D9769481-2059-4E89-B4FA-86D46C37D541}"/>
    <cellStyle name="Normal 8 3 2 2 4 3" xfId="5689" xr:uid="{00000000-0005-0000-0000-00004E1D0000}"/>
    <cellStyle name="Normal 8 3 2 2 4 3 2" xfId="14131" xr:uid="{F3E16BAD-0639-496C-BDC0-16547FA511A7}"/>
    <cellStyle name="Normal 8 3 2 2 4 4" xfId="9913" xr:uid="{D65E1993-E873-45BD-9AD8-3769EE02BBB9}"/>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979A6570-B963-4A8E-BCB5-E3D82ACCAADE}"/>
    <cellStyle name="Normal 8 3 2 2 5 2 3" xfId="12471" xr:uid="{AB4840F1-3232-4D6A-919A-2B98B3C4F085}"/>
    <cellStyle name="Normal 8 3 2 2 5 3" xfId="6102" xr:uid="{00000000-0005-0000-0000-0000521D0000}"/>
    <cellStyle name="Normal 8 3 2 2 5 3 2" xfId="14544" xr:uid="{F0761835-1E30-4688-AC6D-96DA76473CDD}"/>
    <cellStyle name="Normal 8 3 2 2 5 4" xfId="10326" xr:uid="{FD6B0423-5308-4F43-9CD2-ACC51E3CFCDF}"/>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2298E3F0-054B-4866-A677-D3DD5D1627CC}"/>
    <cellStyle name="Normal 8 3 2 2 6 2 3" xfId="12884" xr:uid="{417F61FE-4675-4C2A-B77E-BA932CDF173F}"/>
    <cellStyle name="Normal 8 3 2 2 6 3" xfId="6515" xr:uid="{00000000-0005-0000-0000-0000561D0000}"/>
    <cellStyle name="Normal 8 3 2 2 6 3 2" xfId="14957" xr:uid="{58F36E13-5857-4B1B-9A98-FA207CE507C2}"/>
    <cellStyle name="Normal 8 3 2 2 6 4" xfId="10739" xr:uid="{3F2C751C-D8F0-425A-AC9A-CD2B6532B257}"/>
    <cellStyle name="Normal 8 3 2 2 7" xfId="2644" xr:uid="{00000000-0005-0000-0000-0000571D0000}"/>
    <cellStyle name="Normal 8 3 2 2 7 2" xfId="6928" xr:uid="{00000000-0005-0000-0000-0000581D0000}"/>
    <cellStyle name="Normal 8 3 2 2 7 2 2" xfId="15370" xr:uid="{561A2B23-CE02-4841-B470-7B8DE3E5C05E}"/>
    <cellStyle name="Normal 8 3 2 2 7 3" xfId="11152" xr:uid="{9E2F541E-1C27-42BA-BD6B-19DE1E7B630E}"/>
    <cellStyle name="Normal 8 3 2 2 8" xfId="4863" xr:uid="{00000000-0005-0000-0000-0000591D0000}"/>
    <cellStyle name="Normal 8 3 2 2 8 2" xfId="13305" xr:uid="{B5B555B6-0302-4B32-B659-776CD2E15929}"/>
    <cellStyle name="Normal 8 3 2 2 9" xfId="9087" xr:uid="{D83B0839-3AD4-47BA-AE5C-48B6ECDE226D}"/>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7350FC15-8E15-4E91-9EAD-318B9FC5A23D}"/>
    <cellStyle name="Normal 8 3 2 3 2 2 3" xfId="11647" xr:uid="{C676A807-7D10-46A1-91A3-7532CA3992E4}"/>
    <cellStyle name="Normal 8 3 2 3 2 3" xfId="5278" xr:uid="{00000000-0005-0000-0000-00005E1D0000}"/>
    <cellStyle name="Normal 8 3 2 3 2 3 2" xfId="13720" xr:uid="{90D311E4-442E-4340-BBFA-5DABC868ABDA}"/>
    <cellStyle name="Normal 8 3 2 3 2 4" xfId="9502" xr:uid="{0EBB4CEF-A1F2-4749-A654-09B5408DE680}"/>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17F27AE4-1A2C-435A-87C6-9F50BE8164FC}"/>
    <cellStyle name="Normal 8 3 2 3 3 2 3" xfId="12060" xr:uid="{5AC4EB0F-9C27-4A8C-971A-205C536A85F9}"/>
    <cellStyle name="Normal 8 3 2 3 3 3" xfId="5691" xr:uid="{00000000-0005-0000-0000-0000621D0000}"/>
    <cellStyle name="Normal 8 3 2 3 3 3 2" xfId="14133" xr:uid="{66D7CE49-865C-49A0-A69A-3F5351C35B98}"/>
    <cellStyle name="Normal 8 3 2 3 3 4" xfId="9915" xr:uid="{B7310C53-7F2C-41B7-BA0B-CA7DC8573CC0}"/>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A445B577-0229-43B8-8BF4-4B7FA290E7BB}"/>
    <cellStyle name="Normal 8 3 2 3 4 2 3" xfId="12473" xr:uid="{6A8EFA85-9438-4589-A029-7BC7D928BF08}"/>
    <cellStyle name="Normal 8 3 2 3 4 3" xfId="6104" xr:uid="{00000000-0005-0000-0000-0000661D0000}"/>
    <cellStyle name="Normal 8 3 2 3 4 3 2" xfId="14546" xr:uid="{AB7374EE-8590-4DFA-B17D-442CCE59947D}"/>
    <cellStyle name="Normal 8 3 2 3 4 4" xfId="10328" xr:uid="{82DCA6EC-99AB-4BBD-B15D-6AE2E022406B}"/>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15CB7ED3-C371-47FC-8E90-52AEFF6BD15E}"/>
    <cellStyle name="Normal 8 3 2 3 5 2 3" xfId="12886" xr:uid="{B1399F9B-0078-40EB-A14E-3974A311DBF0}"/>
    <cellStyle name="Normal 8 3 2 3 5 3" xfId="6517" xr:uid="{00000000-0005-0000-0000-00006A1D0000}"/>
    <cellStyle name="Normal 8 3 2 3 5 3 2" xfId="14959" xr:uid="{E3D9F069-DEF2-421C-8F5C-BE650A93A13C}"/>
    <cellStyle name="Normal 8 3 2 3 5 4" xfId="10741" xr:uid="{8589AF60-348A-4C99-BE51-5E8A9FE6A540}"/>
    <cellStyle name="Normal 8 3 2 3 6" xfId="2646" xr:uid="{00000000-0005-0000-0000-00006B1D0000}"/>
    <cellStyle name="Normal 8 3 2 3 6 2" xfId="6930" xr:uid="{00000000-0005-0000-0000-00006C1D0000}"/>
    <cellStyle name="Normal 8 3 2 3 6 2 2" xfId="15372" xr:uid="{A1EC15D7-6CF3-4678-B664-6B008A60D771}"/>
    <cellStyle name="Normal 8 3 2 3 6 3" xfId="11154" xr:uid="{1562FDB1-2BC8-43E2-845C-AE2D53DEA1D1}"/>
    <cellStyle name="Normal 8 3 2 3 7" xfId="4865" xr:uid="{00000000-0005-0000-0000-00006D1D0000}"/>
    <cellStyle name="Normal 8 3 2 3 7 2" xfId="13307" xr:uid="{3F66E652-A052-4E9F-9F04-A365D7CD9E83}"/>
    <cellStyle name="Normal 8 3 2 3 8" xfId="9089" xr:uid="{84E194F8-79F0-4524-9CB6-9C31C74918B2}"/>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ECE898F9-662A-45B5-A427-3F9E442E843C}"/>
    <cellStyle name="Normal 8 3 2 4 2 3" xfId="11644" xr:uid="{10CB3435-184C-4A81-ACAE-EC10A74C3842}"/>
    <cellStyle name="Normal 8 3 2 4 3" xfId="5275" xr:uid="{00000000-0005-0000-0000-0000711D0000}"/>
    <cellStyle name="Normal 8 3 2 4 3 2" xfId="13717" xr:uid="{8B283F59-6F78-42B8-8E78-D0CEF80C0FCD}"/>
    <cellStyle name="Normal 8 3 2 4 4" xfId="9499" xr:uid="{3D87EDE5-5E98-4568-9D4C-B99578328625}"/>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A0027171-9B11-4634-BFB1-509ACF9A7559}"/>
    <cellStyle name="Normal 8 3 2 5 2 3" xfId="12057" xr:uid="{C4BF9848-3E8E-4D8E-9505-EF524BF023F8}"/>
    <cellStyle name="Normal 8 3 2 5 3" xfId="5688" xr:uid="{00000000-0005-0000-0000-0000751D0000}"/>
    <cellStyle name="Normal 8 3 2 5 3 2" xfId="14130" xr:uid="{49F84E00-2D68-40F8-B124-51E804AB4151}"/>
    <cellStyle name="Normal 8 3 2 5 4" xfId="9912" xr:uid="{F749FFBF-39DC-45C7-80A7-F27C220B7F20}"/>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381559A2-C808-4550-B885-1844435C32BE}"/>
    <cellStyle name="Normal 8 3 2 6 2 3" xfId="12470" xr:uid="{ECBC3388-A423-4D4F-9824-9D4E9104D0BB}"/>
    <cellStyle name="Normal 8 3 2 6 3" xfId="6101" xr:uid="{00000000-0005-0000-0000-0000791D0000}"/>
    <cellStyle name="Normal 8 3 2 6 3 2" xfId="14543" xr:uid="{41449A03-6C4E-4ADE-A5EA-24C130948E07}"/>
    <cellStyle name="Normal 8 3 2 6 4" xfId="10325" xr:uid="{AC3134B6-78B8-4CD6-9146-EA5FC09DC1A4}"/>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40BA18C2-11AD-4684-83F0-6F789BF51B75}"/>
    <cellStyle name="Normal 8 3 2 7 2 3" xfId="12883" xr:uid="{E9368EAD-33AE-4F35-A231-C63651F4D1F5}"/>
    <cellStyle name="Normal 8 3 2 7 3" xfId="6514" xr:uid="{00000000-0005-0000-0000-00007D1D0000}"/>
    <cellStyle name="Normal 8 3 2 7 3 2" xfId="14956" xr:uid="{8FCD493B-C8F8-43B7-A66E-FB0CF7A66EED}"/>
    <cellStyle name="Normal 8 3 2 7 4" xfId="10738" xr:uid="{2D8E9595-03FB-41A6-B519-2064CB583281}"/>
    <cellStyle name="Normal 8 3 2 8" xfId="2643" xr:uid="{00000000-0005-0000-0000-00007E1D0000}"/>
    <cellStyle name="Normal 8 3 2 8 2" xfId="6927" xr:uid="{00000000-0005-0000-0000-00007F1D0000}"/>
    <cellStyle name="Normal 8 3 2 8 2 2" xfId="15369" xr:uid="{9F8532E6-AA9B-482E-9803-1CA02DD97087}"/>
    <cellStyle name="Normal 8 3 2 8 3" xfId="11151" xr:uid="{2AFB9D0C-D340-49DF-8957-894285F8E7A2}"/>
    <cellStyle name="Normal 8 3 2 9" xfId="4862" xr:uid="{00000000-0005-0000-0000-0000801D0000}"/>
    <cellStyle name="Normal 8 3 2 9 2" xfId="13304" xr:uid="{78A224CC-E193-419E-9459-65097ED66E9D}"/>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CC030A80-BA2D-47F3-BFC2-EBF379C1DEA9}"/>
    <cellStyle name="Normal 8 3 3 2 2 2 3" xfId="11649" xr:uid="{4FFC5EBC-B6CA-4603-A274-E6B4C0E92640}"/>
    <cellStyle name="Normal 8 3 3 2 2 3" xfId="5280" xr:uid="{00000000-0005-0000-0000-0000861D0000}"/>
    <cellStyle name="Normal 8 3 3 2 2 3 2" xfId="13722" xr:uid="{03A1FBDD-20EB-4755-92DF-3D1FE6C639CC}"/>
    <cellStyle name="Normal 8 3 3 2 2 4" xfId="9504" xr:uid="{2526F898-59E0-4A62-86CF-9B2C7733C35C}"/>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86434303-E00B-4DE0-A6A8-186492B130BB}"/>
    <cellStyle name="Normal 8 3 3 2 3 2 3" xfId="12062" xr:uid="{4938F42E-B798-401A-8D0C-501F13A7F7CC}"/>
    <cellStyle name="Normal 8 3 3 2 3 3" xfId="5693" xr:uid="{00000000-0005-0000-0000-00008A1D0000}"/>
    <cellStyle name="Normal 8 3 3 2 3 3 2" xfId="14135" xr:uid="{54E5B4F0-6C6B-471D-9E90-2DEBEC2DAB30}"/>
    <cellStyle name="Normal 8 3 3 2 3 4" xfId="9917" xr:uid="{70A110CC-FB0A-4CE2-8F24-0090F42FDD63}"/>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B65BA334-EA25-48B4-A261-F862A1465B31}"/>
    <cellStyle name="Normal 8 3 3 2 4 2 3" xfId="12475" xr:uid="{B176CEDB-B754-4A0B-8803-2D36202604BC}"/>
    <cellStyle name="Normal 8 3 3 2 4 3" xfId="6106" xr:uid="{00000000-0005-0000-0000-00008E1D0000}"/>
    <cellStyle name="Normal 8 3 3 2 4 3 2" xfId="14548" xr:uid="{C16F5C9A-4788-4619-9AB0-613B209B888E}"/>
    <cellStyle name="Normal 8 3 3 2 4 4" xfId="10330" xr:uid="{73A6E647-3B69-4A94-9E56-E55E6E811EF6}"/>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B1248A63-0286-4CBE-9F87-8C8A4D140190}"/>
    <cellStyle name="Normal 8 3 3 2 5 2 3" xfId="12888" xr:uid="{F124977A-37FF-4ACD-9142-64008DAC84AF}"/>
    <cellStyle name="Normal 8 3 3 2 5 3" xfId="6519" xr:uid="{00000000-0005-0000-0000-0000921D0000}"/>
    <cellStyle name="Normal 8 3 3 2 5 3 2" xfId="14961" xr:uid="{D238F17B-8D5F-4348-B6E5-BF78E287243B}"/>
    <cellStyle name="Normal 8 3 3 2 5 4" xfId="10743" xr:uid="{1314AF4E-F078-482E-9918-39169AEC155E}"/>
    <cellStyle name="Normal 8 3 3 2 6" xfId="2648" xr:uid="{00000000-0005-0000-0000-0000931D0000}"/>
    <cellStyle name="Normal 8 3 3 2 6 2" xfId="6932" xr:uid="{00000000-0005-0000-0000-0000941D0000}"/>
    <cellStyle name="Normal 8 3 3 2 6 2 2" xfId="15374" xr:uid="{59B142CD-F059-4F3A-8A85-DCA0FABA46DA}"/>
    <cellStyle name="Normal 8 3 3 2 6 3" xfId="11156" xr:uid="{AF69C55C-CEE8-4B70-91FB-C7464F4BCDB8}"/>
    <cellStyle name="Normal 8 3 3 2 7" xfId="4867" xr:uid="{00000000-0005-0000-0000-0000951D0000}"/>
    <cellStyle name="Normal 8 3 3 2 7 2" xfId="13309" xr:uid="{7D84EAC9-0026-4905-A48E-030757815487}"/>
    <cellStyle name="Normal 8 3 3 2 8" xfId="9091" xr:uid="{D17D17D8-E584-42B6-828A-7C81719EBFFD}"/>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03D52E36-371D-4DA1-A13B-3B6728CEC8B5}"/>
    <cellStyle name="Normal 8 3 3 3 2 3" xfId="11648" xr:uid="{408BEAD0-5E43-403A-A1D0-54FAA01F38C7}"/>
    <cellStyle name="Normal 8 3 3 3 3" xfId="5279" xr:uid="{00000000-0005-0000-0000-0000991D0000}"/>
    <cellStyle name="Normal 8 3 3 3 3 2" xfId="13721" xr:uid="{11573B9A-8567-4B42-A4B6-56F151635647}"/>
    <cellStyle name="Normal 8 3 3 3 4" xfId="9503" xr:uid="{9B880C32-3C9B-496F-AE9E-3292187CFA4F}"/>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E362D911-8E08-4F35-9500-8DC2F746A13B}"/>
    <cellStyle name="Normal 8 3 3 4 2 3" xfId="12061" xr:uid="{C91CC219-56E2-4AD3-AFBB-E4C0CC088B73}"/>
    <cellStyle name="Normal 8 3 3 4 3" xfId="5692" xr:uid="{00000000-0005-0000-0000-00009D1D0000}"/>
    <cellStyle name="Normal 8 3 3 4 3 2" xfId="14134" xr:uid="{92FFB3B8-ACD9-4700-B91D-037B1D19B280}"/>
    <cellStyle name="Normal 8 3 3 4 4" xfId="9916" xr:uid="{92FA13ED-788E-4E22-AAE6-F9BA111AB306}"/>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C2741062-C14D-48E3-902C-D087191BC8EC}"/>
    <cellStyle name="Normal 8 3 3 5 2 3" xfId="12474" xr:uid="{8BF53917-04C2-48E9-9DDB-59810D50614C}"/>
    <cellStyle name="Normal 8 3 3 5 3" xfId="6105" xr:uid="{00000000-0005-0000-0000-0000A11D0000}"/>
    <cellStyle name="Normal 8 3 3 5 3 2" xfId="14547" xr:uid="{AC79BE47-44EB-4A42-8098-7D687064BD80}"/>
    <cellStyle name="Normal 8 3 3 5 4" xfId="10329" xr:uid="{D41C49A8-AA14-43D7-96B4-0D5AF1E7EECF}"/>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AFC1C1AF-9F7D-4215-9C98-9699AEFC0263}"/>
    <cellStyle name="Normal 8 3 3 6 2 3" xfId="12887" xr:uid="{77C130D0-1A7D-49F5-8B1C-96EEA3A4052F}"/>
    <cellStyle name="Normal 8 3 3 6 3" xfId="6518" xr:uid="{00000000-0005-0000-0000-0000A51D0000}"/>
    <cellStyle name="Normal 8 3 3 6 3 2" xfId="14960" xr:uid="{84491AE3-966D-4C15-B7CA-6CE750D86461}"/>
    <cellStyle name="Normal 8 3 3 6 4" xfId="10742" xr:uid="{5E70B9BA-CE70-45BD-821E-BD1DEE62CA78}"/>
    <cellStyle name="Normal 8 3 3 7" xfId="2647" xr:uid="{00000000-0005-0000-0000-0000A61D0000}"/>
    <cellStyle name="Normal 8 3 3 7 2" xfId="6931" xr:uid="{00000000-0005-0000-0000-0000A71D0000}"/>
    <cellStyle name="Normal 8 3 3 7 2 2" xfId="15373" xr:uid="{230AE3A8-3855-4F54-AB8A-49065AA0B0F5}"/>
    <cellStyle name="Normal 8 3 3 7 3" xfId="11155" xr:uid="{61ADEFE3-A75E-4F34-B93D-48F5B57D523F}"/>
    <cellStyle name="Normal 8 3 3 8" xfId="4866" xr:uid="{00000000-0005-0000-0000-0000A81D0000}"/>
    <cellStyle name="Normal 8 3 3 8 2" xfId="13308" xr:uid="{33B09BDA-36CB-4E24-85E3-DC06A9111E51}"/>
    <cellStyle name="Normal 8 3 3 9" xfId="9090" xr:uid="{D6060C5F-B39A-44B1-A0E3-E72A22A5693A}"/>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DCAA9813-4981-4339-8FC0-14CD2424F8DF}"/>
    <cellStyle name="Normal 8 3 4 2 2 3" xfId="11650" xr:uid="{B835EFC1-C481-4921-9E53-C55C2D9EE5DF}"/>
    <cellStyle name="Normal 8 3 4 2 3" xfId="5281" xr:uid="{00000000-0005-0000-0000-0000AD1D0000}"/>
    <cellStyle name="Normal 8 3 4 2 3 2" xfId="13723" xr:uid="{34DF1022-EEB6-4ADF-928C-B87142257B25}"/>
    <cellStyle name="Normal 8 3 4 2 4" xfId="9505" xr:uid="{ACEA105E-B831-4A22-96F8-EA58FD9DA749}"/>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E25ED3A5-70A0-4998-97CC-CEB270BFC507}"/>
    <cellStyle name="Normal 8 3 4 3 2 3" xfId="12063" xr:uid="{773A5DE8-9057-44A3-B59A-00506D2A3951}"/>
    <cellStyle name="Normal 8 3 4 3 3" xfId="5694" xr:uid="{00000000-0005-0000-0000-0000B11D0000}"/>
    <cellStyle name="Normal 8 3 4 3 3 2" xfId="14136" xr:uid="{06204B94-86F5-4F18-B801-9EEE3EB7AF1C}"/>
    <cellStyle name="Normal 8 3 4 3 4" xfId="9918" xr:uid="{C8D7B0EE-7F71-4D47-9092-260D647CAB8F}"/>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6861A322-E5A9-4E8C-BB27-FCE153469CA9}"/>
    <cellStyle name="Normal 8 3 4 4 2 3" xfId="12476" xr:uid="{B2A6701C-53D1-4F3B-B3F6-4380881344EE}"/>
    <cellStyle name="Normal 8 3 4 4 3" xfId="6107" xr:uid="{00000000-0005-0000-0000-0000B51D0000}"/>
    <cellStyle name="Normal 8 3 4 4 3 2" xfId="14549" xr:uid="{3C690B7D-3121-468A-828F-CC6D0602326B}"/>
    <cellStyle name="Normal 8 3 4 4 4" xfId="10331" xr:uid="{41ACBB3A-9D38-4B7B-B380-AE04DC172C01}"/>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F0DAAA73-B752-4DDC-B50F-178AA1C4B168}"/>
    <cellStyle name="Normal 8 3 4 5 2 3" xfId="12889" xr:uid="{649A8BB3-ABE0-47B7-9F65-43E07443D92E}"/>
    <cellStyle name="Normal 8 3 4 5 3" xfId="6520" xr:uid="{00000000-0005-0000-0000-0000B91D0000}"/>
    <cellStyle name="Normal 8 3 4 5 3 2" xfId="14962" xr:uid="{D9633D64-EEF6-4DAB-8219-65DE1F6E8781}"/>
    <cellStyle name="Normal 8 3 4 5 4" xfId="10744" xr:uid="{60660758-D692-415F-8B0D-6212D0B36356}"/>
    <cellStyle name="Normal 8 3 4 6" xfId="2649" xr:uid="{00000000-0005-0000-0000-0000BA1D0000}"/>
    <cellStyle name="Normal 8 3 4 6 2" xfId="6933" xr:uid="{00000000-0005-0000-0000-0000BB1D0000}"/>
    <cellStyle name="Normal 8 3 4 6 2 2" xfId="15375" xr:uid="{9489B607-4E66-44DC-9108-448A848071DD}"/>
    <cellStyle name="Normal 8 3 4 6 3" xfId="11157" xr:uid="{93ADD27A-C24B-4B2B-9E64-276EB00A781F}"/>
    <cellStyle name="Normal 8 3 4 7" xfId="4868" xr:uid="{00000000-0005-0000-0000-0000BC1D0000}"/>
    <cellStyle name="Normal 8 3 4 7 2" xfId="13310" xr:uid="{35C8655C-61FE-4A34-AA1D-F7E3DF948C7C}"/>
    <cellStyle name="Normal 8 3 4 8" xfId="9092" xr:uid="{F5FCA23B-D52F-4314-A05D-E9CC5E990B85}"/>
    <cellStyle name="Normal 8 3 5" xfId="962" xr:uid="{00000000-0005-0000-0000-0000BD1D0000}"/>
    <cellStyle name="Normal 8 3 5 2" xfId="3196" xr:uid="{00000000-0005-0000-0000-0000BE1D0000}"/>
    <cellStyle name="Normal 8 3 5 2 2" xfId="7419" xr:uid="{00000000-0005-0000-0000-0000BF1D0000}"/>
    <cellStyle name="Normal 8 3 5 2 2 2" xfId="15861" xr:uid="{F1DA41EA-373D-41B8-A829-75E6AC913EFD}"/>
    <cellStyle name="Normal 8 3 5 2 3" xfId="11643" xr:uid="{E58D84F2-29E6-41FC-B975-7F9D7CC061DE}"/>
    <cellStyle name="Normal 8 3 5 3" xfId="5274" xr:uid="{00000000-0005-0000-0000-0000C01D0000}"/>
    <cellStyle name="Normal 8 3 5 3 2" xfId="13716" xr:uid="{5C2D982A-4AA0-488D-A223-68738FA98239}"/>
    <cellStyle name="Normal 8 3 5 4" xfId="9498" xr:uid="{953F71B8-FD74-40E8-BC0D-B3F4F008EDDF}"/>
    <cellStyle name="Normal 8 3 6" xfId="1379" xr:uid="{00000000-0005-0000-0000-0000C11D0000}"/>
    <cellStyle name="Normal 8 3 6 2" xfId="3609" xr:uid="{00000000-0005-0000-0000-0000C21D0000}"/>
    <cellStyle name="Normal 8 3 6 2 2" xfId="7832" xr:uid="{00000000-0005-0000-0000-0000C31D0000}"/>
    <cellStyle name="Normal 8 3 6 2 2 2" xfId="16274" xr:uid="{E1F40837-988D-478B-B2CF-402B929C83B5}"/>
    <cellStyle name="Normal 8 3 6 2 3" xfId="12056" xr:uid="{2C868B66-5503-4B83-8209-73F3D0F722D6}"/>
    <cellStyle name="Normal 8 3 6 3" xfId="5687" xr:uid="{00000000-0005-0000-0000-0000C41D0000}"/>
    <cellStyle name="Normal 8 3 6 3 2" xfId="14129" xr:uid="{1C094FB7-BA5F-410E-9277-187ECD166D4F}"/>
    <cellStyle name="Normal 8 3 6 4" xfId="9911" xr:uid="{EC4B94A5-1419-4FA6-8077-204386606367}"/>
    <cellStyle name="Normal 8 3 7" xfId="1792" xr:uid="{00000000-0005-0000-0000-0000C51D0000}"/>
    <cellStyle name="Normal 8 3 7 2" xfId="4022" xr:uid="{00000000-0005-0000-0000-0000C61D0000}"/>
    <cellStyle name="Normal 8 3 7 2 2" xfId="8245" xr:uid="{00000000-0005-0000-0000-0000C71D0000}"/>
    <cellStyle name="Normal 8 3 7 2 2 2" xfId="16687" xr:uid="{BB4DEA9D-5941-4E9A-A1C1-0BF907B51721}"/>
    <cellStyle name="Normal 8 3 7 2 3" xfId="12469" xr:uid="{E71FC796-D6CB-4991-8548-59C0CE8D24B3}"/>
    <cellStyle name="Normal 8 3 7 3" xfId="6100" xr:uid="{00000000-0005-0000-0000-0000C81D0000}"/>
    <cellStyle name="Normal 8 3 7 3 2" xfId="14542" xr:uid="{E7FBF355-1ADC-4516-B865-A2D0EEFE1568}"/>
    <cellStyle name="Normal 8 3 7 4" xfId="10324" xr:uid="{4DE60F49-130B-49D4-8F55-407CF25D0FA2}"/>
    <cellStyle name="Normal 8 3 8" xfId="2206" xr:uid="{00000000-0005-0000-0000-0000C91D0000}"/>
    <cellStyle name="Normal 8 3 8 2" xfId="4435" xr:uid="{00000000-0005-0000-0000-0000CA1D0000}"/>
    <cellStyle name="Normal 8 3 8 2 2" xfId="8658" xr:uid="{00000000-0005-0000-0000-0000CB1D0000}"/>
    <cellStyle name="Normal 8 3 8 2 2 2" xfId="17100" xr:uid="{DB6A017B-D214-454E-8A8F-66A6889C2E9B}"/>
    <cellStyle name="Normal 8 3 8 2 3" xfId="12882" xr:uid="{BF2E332F-BE79-47CA-81FC-3079E776D215}"/>
    <cellStyle name="Normal 8 3 8 3" xfId="6513" xr:uid="{00000000-0005-0000-0000-0000CC1D0000}"/>
    <cellStyle name="Normal 8 3 8 3 2" xfId="14955" xr:uid="{63C92CDB-106A-4088-8F82-F99904EB667D}"/>
    <cellStyle name="Normal 8 3 8 4" xfId="10737" xr:uid="{F4E7FDC2-9797-474A-AA23-4A0EB4BE34BC}"/>
    <cellStyle name="Normal 8 3 9" xfId="2642" xr:uid="{00000000-0005-0000-0000-0000CD1D0000}"/>
    <cellStyle name="Normal 8 3 9 2" xfId="6926" xr:uid="{00000000-0005-0000-0000-0000CE1D0000}"/>
    <cellStyle name="Normal 8 3 9 2 2" xfId="15368" xr:uid="{037496C8-5AAA-4626-98DF-5061CB9218DC}"/>
    <cellStyle name="Normal 8 3 9 3" xfId="11150" xr:uid="{A510E97E-C7BB-47E3-B43D-678B184380F4}"/>
    <cellStyle name="Normal 8 4" xfId="503" xr:uid="{00000000-0005-0000-0000-0000CF1D0000}"/>
    <cellStyle name="Normal 8 4 10" xfId="9093" xr:uid="{C1EE03DC-6A1F-471F-9F5A-21F700956A64}"/>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FC344942-FB5D-4D0B-8412-AF65A024544B}"/>
    <cellStyle name="Normal 8 4 2 2 2 2 3" xfId="11653" xr:uid="{33A834E3-D23D-4E09-807E-C2FF8B962DCB}"/>
    <cellStyle name="Normal 8 4 2 2 2 3" xfId="5284" xr:uid="{00000000-0005-0000-0000-0000D51D0000}"/>
    <cellStyle name="Normal 8 4 2 2 2 3 2" xfId="13726" xr:uid="{AB1FC1BC-8D1F-41B8-87E0-81AD35918909}"/>
    <cellStyle name="Normal 8 4 2 2 2 4" xfId="9508" xr:uid="{A606E15E-AF15-436E-97E7-75D61201B9B1}"/>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046C78A4-8B9A-41D3-B413-A1FDDC1EACFF}"/>
    <cellStyle name="Normal 8 4 2 2 3 2 3" xfId="12066" xr:uid="{01272C21-46CD-4786-8B17-0C445E1AA055}"/>
    <cellStyle name="Normal 8 4 2 2 3 3" xfId="5697" xr:uid="{00000000-0005-0000-0000-0000D91D0000}"/>
    <cellStyle name="Normal 8 4 2 2 3 3 2" xfId="14139" xr:uid="{D25C485D-C016-43DF-80CE-13E66ABAB693}"/>
    <cellStyle name="Normal 8 4 2 2 3 4" xfId="9921" xr:uid="{98B59421-92A4-4D51-90E1-0281482C70C9}"/>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C8B23D40-B1F8-4D51-9792-3033482329CD}"/>
    <cellStyle name="Normal 8 4 2 2 4 2 3" xfId="12479" xr:uid="{835E3A49-8FCB-49B1-A783-3E865F17D528}"/>
    <cellStyle name="Normal 8 4 2 2 4 3" xfId="6110" xr:uid="{00000000-0005-0000-0000-0000DD1D0000}"/>
    <cellStyle name="Normal 8 4 2 2 4 3 2" xfId="14552" xr:uid="{37289BD6-A2C5-42E3-934D-EAAF0C2AC103}"/>
    <cellStyle name="Normal 8 4 2 2 4 4" xfId="10334" xr:uid="{B6BBCCBE-90B2-4BB1-A52E-7316284B4ADA}"/>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C31E463C-FFBE-494D-B406-A009FF010FD1}"/>
    <cellStyle name="Normal 8 4 2 2 5 2 3" xfId="12892" xr:uid="{F27CBF1E-5F52-44CE-9C9D-C3E8F6E986F8}"/>
    <cellStyle name="Normal 8 4 2 2 5 3" xfId="6523" xr:uid="{00000000-0005-0000-0000-0000E11D0000}"/>
    <cellStyle name="Normal 8 4 2 2 5 3 2" xfId="14965" xr:uid="{766B02D0-1633-4685-BF88-420AB50B2196}"/>
    <cellStyle name="Normal 8 4 2 2 5 4" xfId="10747" xr:uid="{8D5BD68E-E55B-4DB2-84DD-F3BF7C1A94E1}"/>
    <cellStyle name="Normal 8 4 2 2 6" xfId="2652" xr:uid="{00000000-0005-0000-0000-0000E21D0000}"/>
    <cellStyle name="Normal 8 4 2 2 6 2" xfId="6936" xr:uid="{00000000-0005-0000-0000-0000E31D0000}"/>
    <cellStyle name="Normal 8 4 2 2 6 2 2" xfId="15378" xr:uid="{AFA77FB0-C578-4F29-A22F-851C7A82BCBF}"/>
    <cellStyle name="Normal 8 4 2 2 6 3" xfId="11160" xr:uid="{F5BF4FF6-0E12-4922-825E-DD229AF063F8}"/>
    <cellStyle name="Normal 8 4 2 2 7" xfId="4871" xr:uid="{00000000-0005-0000-0000-0000E41D0000}"/>
    <cellStyle name="Normal 8 4 2 2 7 2" xfId="13313" xr:uid="{E29F354D-CDA3-44D6-991D-8C75ECD4A308}"/>
    <cellStyle name="Normal 8 4 2 2 8" xfId="9095" xr:uid="{3C412CBA-1755-4622-A473-6D3761E440C6}"/>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C3E1D9B7-37D5-4A90-BD6F-B70F863C1060}"/>
    <cellStyle name="Normal 8 4 2 3 2 3" xfId="11652" xr:uid="{0A02A4CD-A52D-47C2-9F58-D647732BDEDD}"/>
    <cellStyle name="Normal 8 4 2 3 3" xfId="5283" xr:uid="{00000000-0005-0000-0000-0000E81D0000}"/>
    <cellStyle name="Normal 8 4 2 3 3 2" xfId="13725" xr:uid="{8D3CAC4F-B5FD-4B71-85A6-FE25DA42C9F9}"/>
    <cellStyle name="Normal 8 4 2 3 4" xfId="9507" xr:uid="{13ED2A41-30C8-4E3D-A60B-1DC34DB1E1A4}"/>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17CE96D7-E0F4-4E92-9832-425A41B0638F}"/>
    <cellStyle name="Normal 8 4 2 4 2 3" xfId="12065" xr:uid="{811A9C0A-E76E-4797-A748-AC285ADF7F09}"/>
    <cellStyle name="Normal 8 4 2 4 3" xfId="5696" xr:uid="{00000000-0005-0000-0000-0000EC1D0000}"/>
    <cellStyle name="Normal 8 4 2 4 3 2" xfId="14138" xr:uid="{58F5BB39-BCE9-4EE8-9064-266717C42614}"/>
    <cellStyle name="Normal 8 4 2 4 4" xfId="9920" xr:uid="{8C72B299-1E1F-4AA5-8FE9-99B7783F5A92}"/>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5206A93E-1890-4C18-B002-4CE9480D5C8D}"/>
    <cellStyle name="Normal 8 4 2 5 2 3" xfId="12478" xr:uid="{B887BE16-DF25-4FD0-BCA2-3AC06A93566E}"/>
    <cellStyle name="Normal 8 4 2 5 3" xfId="6109" xr:uid="{00000000-0005-0000-0000-0000F01D0000}"/>
    <cellStyle name="Normal 8 4 2 5 3 2" xfId="14551" xr:uid="{AD1DB19A-77A8-4194-86E6-B2462FE83AFD}"/>
    <cellStyle name="Normal 8 4 2 5 4" xfId="10333" xr:uid="{A6F5654C-BA65-4384-A380-3FF44405EB3C}"/>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F6FD0A85-B891-49E6-BEB0-208A93444EB7}"/>
    <cellStyle name="Normal 8 4 2 6 2 3" xfId="12891" xr:uid="{446569FD-490C-424D-8FA4-6938DEFAD7EB}"/>
    <cellStyle name="Normal 8 4 2 6 3" xfId="6522" xr:uid="{00000000-0005-0000-0000-0000F41D0000}"/>
    <cellStyle name="Normal 8 4 2 6 3 2" xfId="14964" xr:uid="{41D0436E-EB45-4FC4-B386-22B54A6AD07B}"/>
    <cellStyle name="Normal 8 4 2 6 4" xfId="10746" xr:uid="{E8239085-1AE4-486A-AA7B-F31D4EEF71AC}"/>
    <cellStyle name="Normal 8 4 2 7" xfId="2651" xr:uid="{00000000-0005-0000-0000-0000F51D0000}"/>
    <cellStyle name="Normal 8 4 2 7 2" xfId="6935" xr:uid="{00000000-0005-0000-0000-0000F61D0000}"/>
    <cellStyle name="Normal 8 4 2 7 2 2" xfId="15377" xr:uid="{23FA152A-FE6D-4C68-93E2-7BEFE6B0AB19}"/>
    <cellStyle name="Normal 8 4 2 7 3" xfId="11159" xr:uid="{EB5554A9-EE17-45BB-B94B-C04F9850D79E}"/>
    <cellStyle name="Normal 8 4 2 8" xfId="4870" xr:uid="{00000000-0005-0000-0000-0000F71D0000}"/>
    <cellStyle name="Normal 8 4 2 8 2" xfId="13312" xr:uid="{FB3EFE9F-3B57-4313-906F-25359E1696C1}"/>
    <cellStyle name="Normal 8 4 2 9" xfId="9094" xr:uid="{99CCDC6E-F996-49C4-81F1-D0D9FCB7DB9D}"/>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7352C85D-B030-49EE-B461-A9C8233B7D0A}"/>
    <cellStyle name="Normal 8 4 3 2 2 3" xfId="11654" xr:uid="{B1515785-47CC-4132-A382-E15626CC4324}"/>
    <cellStyle name="Normal 8 4 3 2 3" xfId="5285" xr:uid="{00000000-0005-0000-0000-0000FC1D0000}"/>
    <cellStyle name="Normal 8 4 3 2 3 2" xfId="13727" xr:uid="{E77E5387-7B97-4BF3-9883-28AEF0D22308}"/>
    <cellStyle name="Normal 8 4 3 2 4" xfId="9509" xr:uid="{0730A902-912E-4A4B-B4A4-13DDBBFFBE5E}"/>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4B795E3F-A82F-4D8A-ADA2-63FE6213FDB3}"/>
    <cellStyle name="Normal 8 4 3 3 2 3" xfId="12067" xr:uid="{CAFD8487-4E7E-4BE8-BBE0-0E1FB5885C53}"/>
    <cellStyle name="Normal 8 4 3 3 3" xfId="5698" xr:uid="{00000000-0005-0000-0000-0000001E0000}"/>
    <cellStyle name="Normal 8 4 3 3 3 2" xfId="14140" xr:uid="{94157689-4D0C-4F51-9A9F-9051EE82601E}"/>
    <cellStyle name="Normal 8 4 3 3 4" xfId="9922" xr:uid="{104EBBA5-4B77-4805-9C04-D43B3F4A73F7}"/>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F8F1C5AC-9595-4F21-BF6C-8EDEABA51CCE}"/>
    <cellStyle name="Normal 8 4 3 4 2 3" xfId="12480" xr:uid="{75840B11-8C30-407D-9DD9-766492450660}"/>
    <cellStyle name="Normal 8 4 3 4 3" xfId="6111" xr:uid="{00000000-0005-0000-0000-0000041E0000}"/>
    <cellStyle name="Normal 8 4 3 4 3 2" xfId="14553" xr:uid="{DCBC9DED-3160-4DE5-8BC6-6096AB169155}"/>
    <cellStyle name="Normal 8 4 3 4 4" xfId="10335" xr:uid="{143B2303-4092-49E3-9D85-94D91D57D633}"/>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A7F61D1B-E2A2-40AC-A6E4-7229ECD1D31B}"/>
    <cellStyle name="Normal 8 4 3 5 2 3" xfId="12893" xr:uid="{29D61E85-F173-4E5F-B7DD-D18F5829CC84}"/>
    <cellStyle name="Normal 8 4 3 5 3" xfId="6524" xr:uid="{00000000-0005-0000-0000-0000081E0000}"/>
    <cellStyle name="Normal 8 4 3 5 3 2" xfId="14966" xr:uid="{049D13C4-F0D7-469D-B307-4306B3B1241A}"/>
    <cellStyle name="Normal 8 4 3 5 4" xfId="10748" xr:uid="{96DE9247-F4C2-4FCF-84BB-1C5526002A9F}"/>
    <cellStyle name="Normal 8 4 3 6" xfId="2653" xr:uid="{00000000-0005-0000-0000-0000091E0000}"/>
    <cellStyle name="Normal 8 4 3 6 2" xfId="6937" xr:uid="{00000000-0005-0000-0000-00000A1E0000}"/>
    <cellStyle name="Normal 8 4 3 6 2 2" xfId="15379" xr:uid="{25EDEDF9-6933-4537-BAF0-838F38A035CB}"/>
    <cellStyle name="Normal 8 4 3 6 3" xfId="11161" xr:uid="{17FE8391-9544-449F-9F88-04FFAE3FF855}"/>
    <cellStyle name="Normal 8 4 3 7" xfId="4872" xr:uid="{00000000-0005-0000-0000-00000B1E0000}"/>
    <cellStyle name="Normal 8 4 3 7 2" xfId="13314" xr:uid="{DBD9DC6F-D4D9-474C-AB54-40665A45A19B}"/>
    <cellStyle name="Normal 8 4 3 8" xfId="9096" xr:uid="{542FE17A-9E41-4C66-AB55-11805CF82CAB}"/>
    <cellStyle name="Normal 8 4 4" xfId="970" xr:uid="{00000000-0005-0000-0000-00000C1E0000}"/>
    <cellStyle name="Normal 8 4 4 2" xfId="3204" xr:uid="{00000000-0005-0000-0000-00000D1E0000}"/>
    <cellStyle name="Normal 8 4 4 2 2" xfId="7427" xr:uid="{00000000-0005-0000-0000-00000E1E0000}"/>
    <cellStyle name="Normal 8 4 4 2 2 2" xfId="15869" xr:uid="{17AB5203-C2C8-4348-8E1A-CBEA38CCF2CA}"/>
    <cellStyle name="Normal 8 4 4 2 3" xfId="11651" xr:uid="{ECD09CC2-9BAE-4C96-886E-FBC86742CD15}"/>
    <cellStyle name="Normal 8 4 4 3" xfId="5282" xr:uid="{00000000-0005-0000-0000-00000F1E0000}"/>
    <cellStyle name="Normal 8 4 4 3 2" xfId="13724" xr:uid="{BDE36341-8957-45B5-8444-C142C42B3F82}"/>
    <cellStyle name="Normal 8 4 4 4" xfId="9506" xr:uid="{87E507C4-43B8-4B7D-932A-ABF1F14F9E23}"/>
    <cellStyle name="Normal 8 4 5" xfId="1387" xr:uid="{00000000-0005-0000-0000-0000101E0000}"/>
    <cellStyle name="Normal 8 4 5 2" xfId="3617" xr:uid="{00000000-0005-0000-0000-0000111E0000}"/>
    <cellStyle name="Normal 8 4 5 2 2" xfId="7840" xr:uid="{00000000-0005-0000-0000-0000121E0000}"/>
    <cellStyle name="Normal 8 4 5 2 2 2" xfId="16282" xr:uid="{EF491DEC-A771-4933-BD0D-6357C9EF02EE}"/>
    <cellStyle name="Normal 8 4 5 2 3" xfId="12064" xr:uid="{20A396C1-C3E1-444A-BD59-6B797A8A8461}"/>
    <cellStyle name="Normal 8 4 5 3" xfId="5695" xr:uid="{00000000-0005-0000-0000-0000131E0000}"/>
    <cellStyle name="Normal 8 4 5 3 2" xfId="14137" xr:uid="{061EE79F-A93D-4F15-9D8D-2B6187719DDB}"/>
    <cellStyle name="Normal 8 4 5 4" xfId="9919" xr:uid="{638F0551-ABE4-4DEE-972E-30075B71327C}"/>
    <cellStyle name="Normal 8 4 6" xfId="1800" xr:uid="{00000000-0005-0000-0000-0000141E0000}"/>
    <cellStyle name="Normal 8 4 6 2" xfId="4030" xr:uid="{00000000-0005-0000-0000-0000151E0000}"/>
    <cellStyle name="Normal 8 4 6 2 2" xfId="8253" xr:uid="{00000000-0005-0000-0000-0000161E0000}"/>
    <cellStyle name="Normal 8 4 6 2 2 2" xfId="16695" xr:uid="{83E0385F-74A7-4DC5-9B68-644107A091F6}"/>
    <cellStyle name="Normal 8 4 6 2 3" xfId="12477" xr:uid="{069F9A57-19A8-482D-AA4C-D19740EE9287}"/>
    <cellStyle name="Normal 8 4 6 3" xfId="6108" xr:uid="{00000000-0005-0000-0000-0000171E0000}"/>
    <cellStyle name="Normal 8 4 6 3 2" xfId="14550" xr:uid="{CAC37814-EF3A-40E1-A4A4-6D3E5A5F06CF}"/>
    <cellStyle name="Normal 8 4 6 4" xfId="10332" xr:uid="{E387F65F-3D71-429D-AFB2-7015F8AD68A1}"/>
    <cellStyle name="Normal 8 4 7" xfId="2214" xr:uid="{00000000-0005-0000-0000-0000181E0000}"/>
    <cellStyle name="Normal 8 4 7 2" xfId="4443" xr:uid="{00000000-0005-0000-0000-0000191E0000}"/>
    <cellStyle name="Normal 8 4 7 2 2" xfId="8666" xr:uid="{00000000-0005-0000-0000-00001A1E0000}"/>
    <cellStyle name="Normal 8 4 7 2 2 2" xfId="17108" xr:uid="{45DEE072-FA92-43C8-955B-5412C6ED544A}"/>
    <cellStyle name="Normal 8 4 7 2 3" xfId="12890" xr:uid="{D5627A06-B7F3-473A-BF89-525C738D6839}"/>
    <cellStyle name="Normal 8 4 7 3" xfId="6521" xr:uid="{00000000-0005-0000-0000-00001B1E0000}"/>
    <cellStyle name="Normal 8 4 7 3 2" xfId="14963" xr:uid="{5A3FC0DC-BE23-4BB8-888B-F48B22635000}"/>
    <cellStyle name="Normal 8 4 7 4" xfId="10745" xr:uid="{FA35A8EA-5464-40F3-8796-3EE3DB031B36}"/>
    <cellStyle name="Normal 8 4 8" xfId="2650" xr:uid="{00000000-0005-0000-0000-00001C1E0000}"/>
    <cellStyle name="Normal 8 4 8 2" xfId="6934" xr:uid="{00000000-0005-0000-0000-00001D1E0000}"/>
    <cellStyle name="Normal 8 4 8 2 2" xfId="15376" xr:uid="{D36D84D6-0574-4F63-8863-5A29F0CCDEE6}"/>
    <cellStyle name="Normal 8 4 8 3" xfId="11158" xr:uid="{62F7C25D-8C99-4034-B16B-66CEB86F7C70}"/>
    <cellStyle name="Normal 8 4 9" xfId="4869" xr:uid="{00000000-0005-0000-0000-00001E1E0000}"/>
    <cellStyle name="Normal 8 4 9 2" xfId="13311" xr:uid="{0CE575D1-D513-4FD4-A089-182765266012}"/>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CB0E04B8-25DF-4C55-9D4C-3F4B124E0889}"/>
    <cellStyle name="Normal 8 5 2 2 2 3" xfId="11656" xr:uid="{B9712AAA-915F-435E-BC29-1C9A74A59DC9}"/>
    <cellStyle name="Normal 8 5 2 2 3" xfId="5287" xr:uid="{00000000-0005-0000-0000-0000241E0000}"/>
    <cellStyle name="Normal 8 5 2 2 3 2" xfId="13729" xr:uid="{8EE9DEDB-4DAB-494B-AC8F-148334220280}"/>
    <cellStyle name="Normal 8 5 2 2 4" xfId="9511" xr:uid="{7B7B1C48-0508-4538-AABC-53D2074C52BB}"/>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47AEBBE8-822E-421D-801E-4A02373DDB0E}"/>
    <cellStyle name="Normal 8 5 2 3 2 3" xfId="12069" xr:uid="{828C459A-85B8-4B0F-8359-6B4565B54AFD}"/>
    <cellStyle name="Normal 8 5 2 3 3" xfId="5700" xr:uid="{00000000-0005-0000-0000-0000281E0000}"/>
    <cellStyle name="Normal 8 5 2 3 3 2" xfId="14142" xr:uid="{ACC08638-F87F-48E9-900F-19E83E1DBC24}"/>
    <cellStyle name="Normal 8 5 2 3 4" xfId="9924" xr:uid="{D7D0FDDF-3EC6-47A0-AF3A-BFECF5677094}"/>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4253659F-20C9-467E-AC79-E547B7AF698E}"/>
    <cellStyle name="Normal 8 5 2 4 2 3" xfId="12482" xr:uid="{FF9A5442-7EA4-4929-83E0-77DCE5498AAD}"/>
    <cellStyle name="Normal 8 5 2 4 3" xfId="6113" xr:uid="{00000000-0005-0000-0000-00002C1E0000}"/>
    <cellStyle name="Normal 8 5 2 4 3 2" xfId="14555" xr:uid="{908F3E8E-F728-4412-9722-B8DE92C77E57}"/>
    <cellStyle name="Normal 8 5 2 4 4" xfId="10337" xr:uid="{BE7478E6-8897-4451-9A82-B7AC6ADEA7C5}"/>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BC317DE1-D0E8-4959-B8B4-C903333F03AC}"/>
    <cellStyle name="Normal 8 5 2 5 2 3" xfId="12895" xr:uid="{415F3940-A09A-4257-B18F-337402953FB7}"/>
    <cellStyle name="Normal 8 5 2 5 3" xfId="6526" xr:uid="{00000000-0005-0000-0000-0000301E0000}"/>
    <cellStyle name="Normal 8 5 2 5 3 2" xfId="14968" xr:uid="{7EB592E3-03B2-4259-B9CF-D64CB1C08C73}"/>
    <cellStyle name="Normal 8 5 2 5 4" xfId="10750" xr:uid="{B2F7EFF2-A628-4BC7-9BB7-0C3BF67EB302}"/>
    <cellStyle name="Normal 8 5 2 6" xfId="2655" xr:uid="{00000000-0005-0000-0000-0000311E0000}"/>
    <cellStyle name="Normal 8 5 2 6 2" xfId="6939" xr:uid="{00000000-0005-0000-0000-0000321E0000}"/>
    <cellStyle name="Normal 8 5 2 6 2 2" xfId="15381" xr:uid="{7675E483-1B71-4E93-8608-326D262AC166}"/>
    <cellStyle name="Normal 8 5 2 6 3" xfId="11163" xr:uid="{F2E7547A-DD21-43EA-8390-7EE147DD4791}"/>
    <cellStyle name="Normal 8 5 2 7" xfId="4874" xr:uid="{00000000-0005-0000-0000-0000331E0000}"/>
    <cellStyle name="Normal 8 5 2 7 2" xfId="13316" xr:uid="{B8268BDD-9E09-4F94-A2A4-07F6215E4122}"/>
    <cellStyle name="Normal 8 5 2 8" xfId="9098" xr:uid="{823B2F53-4988-46E8-BD3D-16B4429B35A8}"/>
    <cellStyle name="Normal 8 5 3" xfId="974" xr:uid="{00000000-0005-0000-0000-0000341E0000}"/>
    <cellStyle name="Normal 8 5 3 2" xfId="3208" xr:uid="{00000000-0005-0000-0000-0000351E0000}"/>
    <cellStyle name="Normal 8 5 3 2 2" xfId="7431" xr:uid="{00000000-0005-0000-0000-0000361E0000}"/>
    <cellStyle name="Normal 8 5 3 2 2 2" xfId="15873" xr:uid="{99555EB1-2ADE-4405-B641-6B3D4E1177BB}"/>
    <cellStyle name="Normal 8 5 3 2 3" xfId="11655" xr:uid="{1A3FAD2D-28A4-4059-9F28-7AFF3B5634FF}"/>
    <cellStyle name="Normal 8 5 3 3" xfId="5286" xr:uid="{00000000-0005-0000-0000-0000371E0000}"/>
    <cellStyle name="Normal 8 5 3 3 2" xfId="13728" xr:uid="{D3561BCD-6861-43C0-82F3-E97B2579BE48}"/>
    <cellStyle name="Normal 8 5 3 4" xfId="9510" xr:uid="{59311B08-376C-484A-B6D5-6817F989FA30}"/>
    <cellStyle name="Normal 8 5 4" xfId="1391" xr:uid="{00000000-0005-0000-0000-0000381E0000}"/>
    <cellStyle name="Normal 8 5 4 2" xfId="3621" xr:uid="{00000000-0005-0000-0000-0000391E0000}"/>
    <cellStyle name="Normal 8 5 4 2 2" xfId="7844" xr:uid="{00000000-0005-0000-0000-00003A1E0000}"/>
    <cellStyle name="Normal 8 5 4 2 2 2" xfId="16286" xr:uid="{46097858-2E6E-4629-9CB6-92FB0562595C}"/>
    <cellStyle name="Normal 8 5 4 2 3" xfId="12068" xr:uid="{AA55823D-FFD6-46C5-87AF-29020E5CB403}"/>
    <cellStyle name="Normal 8 5 4 3" xfId="5699" xr:uid="{00000000-0005-0000-0000-00003B1E0000}"/>
    <cellStyle name="Normal 8 5 4 3 2" xfId="14141" xr:uid="{5193EFF3-C638-4A3C-AA38-939DC4F8E255}"/>
    <cellStyle name="Normal 8 5 4 4" xfId="9923" xr:uid="{70896E76-9935-4782-83A6-5AD6AE7591F2}"/>
    <cellStyle name="Normal 8 5 5" xfId="1804" xr:uid="{00000000-0005-0000-0000-00003C1E0000}"/>
    <cellStyle name="Normal 8 5 5 2" xfId="4034" xr:uid="{00000000-0005-0000-0000-00003D1E0000}"/>
    <cellStyle name="Normal 8 5 5 2 2" xfId="8257" xr:uid="{00000000-0005-0000-0000-00003E1E0000}"/>
    <cellStyle name="Normal 8 5 5 2 2 2" xfId="16699" xr:uid="{360E6E3E-246B-4E3D-8E3A-AD09CE313573}"/>
    <cellStyle name="Normal 8 5 5 2 3" xfId="12481" xr:uid="{8EE19E7D-D010-43AB-8313-3839B2269213}"/>
    <cellStyle name="Normal 8 5 5 3" xfId="6112" xr:uid="{00000000-0005-0000-0000-00003F1E0000}"/>
    <cellStyle name="Normal 8 5 5 3 2" xfId="14554" xr:uid="{994B1A99-7F55-4054-9B3F-BE437CE57490}"/>
    <cellStyle name="Normal 8 5 5 4" xfId="10336" xr:uid="{73D8EB21-9C4A-4CB7-88DC-EB8E55ADA35C}"/>
    <cellStyle name="Normal 8 5 6" xfId="2218" xr:uid="{00000000-0005-0000-0000-0000401E0000}"/>
    <cellStyle name="Normal 8 5 6 2" xfId="4447" xr:uid="{00000000-0005-0000-0000-0000411E0000}"/>
    <cellStyle name="Normal 8 5 6 2 2" xfId="8670" xr:uid="{00000000-0005-0000-0000-0000421E0000}"/>
    <cellStyle name="Normal 8 5 6 2 2 2" xfId="17112" xr:uid="{E682A5E7-8AF1-42D4-8C3C-2E525BFF2B46}"/>
    <cellStyle name="Normal 8 5 6 2 3" xfId="12894" xr:uid="{D6D9E7A2-7868-4650-82C6-513FA2A15870}"/>
    <cellStyle name="Normal 8 5 6 3" xfId="6525" xr:uid="{00000000-0005-0000-0000-0000431E0000}"/>
    <cellStyle name="Normal 8 5 6 3 2" xfId="14967" xr:uid="{3A723CA5-4CBB-4716-A62F-C2AFD5B21059}"/>
    <cellStyle name="Normal 8 5 6 4" xfId="10749" xr:uid="{63AF6059-2AD0-410B-9F70-FB4972922AC3}"/>
    <cellStyle name="Normal 8 5 7" xfId="2654" xr:uid="{00000000-0005-0000-0000-0000441E0000}"/>
    <cellStyle name="Normal 8 5 7 2" xfId="6938" xr:uid="{00000000-0005-0000-0000-0000451E0000}"/>
    <cellStyle name="Normal 8 5 7 2 2" xfId="15380" xr:uid="{156FFC2B-1410-4CEA-BED4-35F3F40942E9}"/>
    <cellStyle name="Normal 8 5 7 3" xfId="11162" xr:uid="{2FC73B12-6B2E-45C2-AF3B-ED25683A39B6}"/>
    <cellStyle name="Normal 8 5 8" xfId="4873" xr:uid="{00000000-0005-0000-0000-0000461E0000}"/>
    <cellStyle name="Normal 8 5 8 2" xfId="13315" xr:uid="{AF7CAB86-D17D-4A20-981E-60B0D39188D5}"/>
    <cellStyle name="Normal 8 5 9" xfId="9097" xr:uid="{B439F418-D23B-4A63-8419-DDDDAAF541D5}"/>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81D574A6-5BD6-4C0E-BCAB-93AA3DA8B907}"/>
    <cellStyle name="Normal 8 6 2 2 3" xfId="11657" xr:uid="{2B367EDD-66A5-4EF5-9EAF-FB42FC590508}"/>
    <cellStyle name="Normal 8 6 2 3" xfId="5288" xr:uid="{00000000-0005-0000-0000-00004B1E0000}"/>
    <cellStyle name="Normal 8 6 2 3 2" xfId="13730" xr:uid="{780EBD21-B28D-4078-843D-860C9123DB3D}"/>
    <cellStyle name="Normal 8 6 2 4" xfId="9512" xr:uid="{B31264A9-2595-48B2-B165-D914D20060E8}"/>
    <cellStyle name="Normal 8 6 3" xfId="1393" xr:uid="{00000000-0005-0000-0000-00004C1E0000}"/>
    <cellStyle name="Normal 8 6 3 2" xfId="3623" xr:uid="{00000000-0005-0000-0000-00004D1E0000}"/>
    <cellStyle name="Normal 8 6 3 2 2" xfId="7846" xr:uid="{00000000-0005-0000-0000-00004E1E0000}"/>
    <cellStyle name="Normal 8 6 3 2 2 2" xfId="16288" xr:uid="{B5EEEB53-4285-475F-B65C-C08776C07E29}"/>
    <cellStyle name="Normal 8 6 3 2 3" xfId="12070" xr:uid="{BA6118E5-DBD0-4A85-871F-3B464E549C56}"/>
    <cellStyle name="Normal 8 6 3 3" xfId="5701" xr:uid="{00000000-0005-0000-0000-00004F1E0000}"/>
    <cellStyle name="Normal 8 6 3 3 2" xfId="14143" xr:uid="{BF05C90A-93A4-4411-9CE4-792E05298868}"/>
    <cellStyle name="Normal 8 6 3 4" xfId="9925" xr:uid="{B8340D5F-5445-4423-B09A-F2F0ABDFFD5E}"/>
    <cellStyle name="Normal 8 6 4" xfId="1806" xr:uid="{00000000-0005-0000-0000-0000501E0000}"/>
    <cellStyle name="Normal 8 6 4 2" xfId="4036" xr:uid="{00000000-0005-0000-0000-0000511E0000}"/>
    <cellStyle name="Normal 8 6 4 2 2" xfId="8259" xr:uid="{00000000-0005-0000-0000-0000521E0000}"/>
    <cellStyle name="Normal 8 6 4 2 2 2" xfId="16701" xr:uid="{6285FA6E-C401-4C97-9F36-DC2CB15B0EF7}"/>
    <cellStyle name="Normal 8 6 4 2 3" xfId="12483" xr:uid="{9D2FE7FD-C1EE-455F-8EBD-63088F1783A9}"/>
    <cellStyle name="Normal 8 6 4 3" xfId="6114" xr:uid="{00000000-0005-0000-0000-0000531E0000}"/>
    <cellStyle name="Normal 8 6 4 3 2" xfId="14556" xr:uid="{48736C93-B237-4804-B9D2-D903BCF3F9AA}"/>
    <cellStyle name="Normal 8 6 4 4" xfId="10338" xr:uid="{4645FF2F-245E-4231-B07C-C23824A1E8CB}"/>
    <cellStyle name="Normal 8 6 5" xfId="2220" xr:uid="{00000000-0005-0000-0000-0000541E0000}"/>
    <cellStyle name="Normal 8 6 5 2" xfId="4449" xr:uid="{00000000-0005-0000-0000-0000551E0000}"/>
    <cellStyle name="Normal 8 6 5 2 2" xfId="8672" xr:uid="{00000000-0005-0000-0000-0000561E0000}"/>
    <cellStyle name="Normal 8 6 5 2 2 2" xfId="17114" xr:uid="{DC276DB8-E01F-42AC-A33F-97E1B2CCAB65}"/>
    <cellStyle name="Normal 8 6 5 2 3" xfId="12896" xr:uid="{E7A31EDC-EA4F-4F5B-8954-59AB0603B991}"/>
    <cellStyle name="Normal 8 6 5 3" xfId="6527" xr:uid="{00000000-0005-0000-0000-0000571E0000}"/>
    <cellStyle name="Normal 8 6 5 3 2" xfId="14969" xr:uid="{81F1EB8E-D09B-4A34-9219-0B69B3C648DA}"/>
    <cellStyle name="Normal 8 6 5 4" xfId="10751" xr:uid="{0A8436A3-381D-496B-92A3-68AC0BE23435}"/>
    <cellStyle name="Normal 8 6 6" xfId="2656" xr:uid="{00000000-0005-0000-0000-0000581E0000}"/>
    <cellStyle name="Normal 8 6 6 2" xfId="6940" xr:uid="{00000000-0005-0000-0000-0000591E0000}"/>
    <cellStyle name="Normal 8 6 6 2 2" xfId="15382" xr:uid="{3AC09AA6-12EB-409C-A704-964A717CC094}"/>
    <cellStyle name="Normal 8 6 6 3" xfId="11164" xr:uid="{960E5A37-E321-4EA9-B713-73B566AC0DCA}"/>
    <cellStyle name="Normal 8 6 7" xfId="4875" xr:uid="{00000000-0005-0000-0000-00005A1E0000}"/>
    <cellStyle name="Normal 8 6 7 2" xfId="13317" xr:uid="{E2B5DC4D-3CD5-420F-B883-53D4B956E4BD}"/>
    <cellStyle name="Normal 8 6 8" xfId="9099" xr:uid="{D48F104B-29BA-41F9-A27A-C97DB361132C}"/>
    <cellStyle name="Normal 8 7" xfId="945" xr:uid="{00000000-0005-0000-0000-00005B1E0000}"/>
    <cellStyle name="Normal 8 7 2" xfId="3179" xr:uid="{00000000-0005-0000-0000-00005C1E0000}"/>
    <cellStyle name="Normal 8 7 2 2" xfId="7402" xr:uid="{00000000-0005-0000-0000-00005D1E0000}"/>
    <cellStyle name="Normal 8 7 2 2 2" xfId="15844" xr:uid="{AC286610-A526-4ECA-9DCB-C4B0ED65607C}"/>
    <cellStyle name="Normal 8 7 2 3" xfId="11626" xr:uid="{EB602845-A3D1-482D-9572-65381DCACF00}"/>
    <cellStyle name="Normal 8 7 3" xfId="5257" xr:uid="{00000000-0005-0000-0000-00005E1E0000}"/>
    <cellStyle name="Normal 8 7 3 2" xfId="13699" xr:uid="{215B8F05-92DF-4A14-B1EA-18ECDDC03CC8}"/>
    <cellStyle name="Normal 8 7 4" xfId="9481" xr:uid="{38E891BD-808F-4A80-B1D1-3360C1B85B87}"/>
    <cellStyle name="Normal 8 8" xfId="1362" xr:uid="{00000000-0005-0000-0000-00005F1E0000}"/>
    <cellStyle name="Normal 8 8 2" xfId="3592" xr:uid="{00000000-0005-0000-0000-0000601E0000}"/>
    <cellStyle name="Normal 8 8 2 2" xfId="7815" xr:uid="{00000000-0005-0000-0000-0000611E0000}"/>
    <cellStyle name="Normal 8 8 2 2 2" xfId="16257" xr:uid="{C91CE81D-DAEB-474D-8DD7-F8E3BAC75F64}"/>
    <cellStyle name="Normal 8 8 2 3" xfId="12039" xr:uid="{DF74B91B-5295-4502-8C2B-C966C12739A1}"/>
    <cellStyle name="Normal 8 8 3" xfId="5670" xr:uid="{00000000-0005-0000-0000-0000621E0000}"/>
    <cellStyle name="Normal 8 8 3 2" xfId="14112" xr:uid="{6D6D7483-AF49-4757-ABC3-DBA6AF55E6AC}"/>
    <cellStyle name="Normal 8 8 4" xfId="9894" xr:uid="{0BDB99E7-13B8-4DEA-836E-915741C25EC4}"/>
    <cellStyle name="Normal 8 9" xfId="1775" xr:uid="{00000000-0005-0000-0000-0000631E0000}"/>
    <cellStyle name="Normal 8 9 2" xfId="4005" xr:uid="{00000000-0005-0000-0000-0000641E0000}"/>
    <cellStyle name="Normal 8 9 2 2" xfId="8228" xr:uid="{00000000-0005-0000-0000-0000651E0000}"/>
    <cellStyle name="Normal 8 9 2 2 2" xfId="16670" xr:uid="{264F4EE2-48CB-4186-82E3-7BBF3A5D4C38}"/>
    <cellStyle name="Normal 8 9 2 3" xfId="12452" xr:uid="{0925E876-1755-4658-9FD3-72B5034B0C36}"/>
    <cellStyle name="Normal 8 9 3" xfId="6083" xr:uid="{00000000-0005-0000-0000-0000661E0000}"/>
    <cellStyle name="Normal 8 9 3 2" xfId="14525" xr:uid="{037E6878-9D08-4C14-87CC-6E5561228F4D}"/>
    <cellStyle name="Normal 8 9 4" xfId="10307" xr:uid="{1D933D17-659E-4D9C-AC96-98C70AF4BA93}"/>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7575765C-0715-4AAB-85FD-D961AA88BE84}"/>
    <cellStyle name="Normal 9 2 10 3" xfId="11165" xr:uid="{ACF5B63A-B761-47B4-9926-64C6BA52408B}"/>
    <cellStyle name="Normal 9 2 11" xfId="4876" xr:uid="{00000000-0005-0000-0000-00006B1E0000}"/>
    <cellStyle name="Normal 9 2 11 2" xfId="13318" xr:uid="{55A0CB65-A419-4E8E-A0D9-65E89FAB7391}"/>
    <cellStyle name="Normal 9 2 12" xfId="9100" xr:uid="{C69B8750-4FE8-45FB-802F-43B36F6CCE68}"/>
    <cellStyle name="Normal 9 2 2" xfId="512" xr:uid="{00000000-0005-0000-0000-00006C1E0000}"/>
    <cellStyle name="Normal 9 2 2 10" xfId="4877" xr:uid="{00000000-0005-0000-0000-00006D1E0000}"/>
    <cellStyle name="Normal 9 2 2 10 2" xfId="13319" xr:uid="{4A0E3AFA-1596-4C20-A670-F1E5DE3F0DAE}"/>
    <cellStyle name="Normal 9 2 2 11" xfId="9101" xr:uid="{2F2D3D3E-71DD-45F1-9123-7780C8B10C9A}"/>
    <cellStyle name="Normal 9 2 2 2" xfId="513" xr:uid="{00000000-0005-0000-0000-00006E1E0000}"/>
    <cellStyle name="Normal 9 2 2 2 10" xfId="9102" xr:uid="{6B6D4B5E-5548-470E-B63D-B5E090D8D8E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338AA9D3-075E-40B5-BA43-C694AB5D5119}"/>
    <cellStyle name="Normal 9 2 2 2 2 2 2 2 3" xfId="11662" xr:uid="{3EACBC24-C5DE-4812-B04D-8A71CD5CDD2C}"/>
    <cellStyle name="Normal 9 2 2 2 2 2 2 3" xfId="5293" xr:uid="{00000000-0005-0000-0000-0000741E0000}"/>
    <cellStyle name="Normal 9 2 2 2 2 2 2 3 2" xfId="13735" xr:uid="{128328C7-4A14-4A29-BF04-6CF66DC7EE1A}"/>
    <cellStyle name="Normal 9 2 2 2 2 2 2 4" xfId="9517" xr:uid="{0E0C8057-D0D3-42BE-9436-B5F120642F42}"/>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FA7455BE-7B83-4744-B081-918D30248092}"/>
    <cellStyle name="Normal 9 2 2 2 2 2 3 2 3" xfId="12075" xr:uid="{CB85CE44-FBFB-4FC5-8FF0-3BB0180CCC1F}"/>
    <cellStyle name="Normal 9 2 2 2 2 2 3 3" xfId="5706" xr:uid="{00000000-0005-0000-0000-0000781E0000}"/>
    <cellStyle name="Normal 9 2 2 2 2 2 3 3 2" xfId="14148" xr:uid="{C3690EF7-51A9-4C66-9AE8-68F4D6A3CA1A}"/>
    <cellStyle name="Normal 9 2 2 2 2 2 3 4" xfId="9930" xr:uid="{B216A529-2CFC-43D4-B0EB-9CDE1C2E1FD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99BFB78E-0B0B-480B-B889-EADB4E26B347}"/>
    <cellStyle name="Normal 9 2 2 2 2 2 4 2 3" xfId="12488" xr:uid="{26134671-057A-4D97-9248-00472B0910A8}"/>
    <cellStyle name="Normal 9 2 2 2 2 2 4 3" xfId="6119" xr:uid="{00000000-0005-0000-0000-00007C1E0000}"/>
    <cellStyle name="Normal 9 2 2 2 2 2 4 3 2" xfId="14561" xr:uid="{737C3707-8717-45A2-9210-A2599046A35F}"/>
    <cellStyle name="Normal 9 2 2 2 2 2 4 4" xfId="10343" xr:uid="{19D1B675-1D3D-4742-87A3-42CFE5AF03AC}"/>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8863E064-B0D0-4276-96EE-CCF775EEB5D2}"/>
    <cellStyle name="Normal 9 2 2 2 2 2 5 2 3" xfId="12901" xr:uid="{A0D68834-E369-4D84-9E94-414B5884EAAC}"/>
    <cellStyle name="Normal 9 2 2 2 2 2 5 3" xfId="6532" xr:uid="{00000000-0005-0000-0000-0000801E0000}"/>
    <cellStyle name="Normal 9 2 2 2 2 2 5 3 2" xfId="14974" xr:uid="{8461D531-4BD4-442A-B706-17C6F5B2908D}"/>
    <cellStyle name="Normal 9 2 2 2 2 2 5 4" xfId="10756" xr:uid="{787EFD1A-9CDB-4645-928A-1C8496BE1AF0}"/>
    <cellStyle name="Normal 9 2 2 2 2 2 6" xfId="2661" xr:uid="{00000000-0005-0000-0000-0000811E0000}"/>
    <cellStyle name="Normal 9 2 2 2 2 2 6 2" xfId="6945" xr:uid="{00000000-0005-0000-0000-0000821E0000}"/>
    <cellStyle name="Normal 9 2 2 2 2 2 6 2 2" xfId="15387" xr:uid="{7CB37221-BF57-48C9-AAA9-09C1950DF6B3}"/>
    <cellStyle name="Normal 9 2 2 2 2 2 6 3" xfId="11169" xr:uid="{95C7608F-7852-4BBE-8123-3DAB52C6B153}"/>
    <cellStyle name="Normal 9 2 2 2 2 2 7" xfId="4880" xr:uid="{00000000-0005-0000-0000-0000831E0000}"/>
    <cellStyle name="Normal 9 2 2 2 2 2 7 2" xfId="13322" xr:uid="{230583E6-18EA-46BA-BE97-2F344AEED515}"/>
    <cellStyle name="Normal 9 2 2 2 2 2 8" xfId="9104" xr:uid="{D3FB2DE4-53F7-4D69-AE6A-8BC66ED4A82A}"/>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15269141-63D5-4814-B1FB-A26E12BCE4BD}"/>
    <cellStyle name="Normal 9 2 2 2 2 3 2 3" xfId="11661" xr:uid="{AD641550-3B6C-41FF-AF38-8ABA7961EBD6}"/>
    <cellStyle name="Normal 9 2 2 2 2 3 3" xfId="5292" xr:uid="{00000000-0005-0000-0000-0000871E0000}"/>
    <cellStyle name="Normal 9 2 2 2 2 3 3 2" xfId="13734" xr:uid="{F9E81C7E-4D01-433D-930D-B7F0121A8CF7}"/>
    <cellStyle name="Normal 9 2 2 2 2 3 4" xfId="9516" xr:uid="{B75E0202-FBA7-4A77-A29E-2A6DD69E409D}"/>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2E1C3EF5-D5DB-496F-A984-3F3BFDCBC14D}"/>
    <cellStyle name="Normal 9 2 2 2 2 4 2 3" xfId="12074" xr:uid="{C8DD8F58-827A-4E82-B087-751AE44DF9CE}"/>
    <cellStyle name="Normal 9 2 2 2 2 4 3" xfId="5705" xr:uid="{00000000-0005-0000-0000-00008B1E0000}"/>
    <cellStyle name="Normal 9 2 2 2 2 4 3 2" xfId="14147" xr:uid="{DF8E0E31-E5CB-4397-89FA-FEB633601263}"/>
    <cellStyle name="Normal 9 2 2 2 2 4 4" xfId="9929" xr:uid="{10961406-8BDB-4764-80BA-6002DE4C9FB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7FF73363-1356-4E6B-BA71-ED628FA86323}"/>
    <cellStyle name="Normal 9 2 2 2 2 5 2 3" xfId="12487" xr:uid="{F2569CC8-5989-446C-8335-8307CEEC96EE}"/>
    <cellStyle name="Normal 9 2 2 2 2 5 3" xfId="6118" xr:uid="{00000000-0005-0000-0000-00008F1E0000}"/>
    <cellStyle name="Normal 9 2 2 2 2 5 3 2" xfId="14560" xr:uid="{F9A76102-7E20-49DE-8AD0-AF659EFFB87F}"/>
    <cellStyle name="Normal 9 2 2 2 2 5 4" xfId="10342" xr:uid="{06A37510-A978-4B53-B425-B07DF0C5D2AF}"/>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20DA1AA2-ED06-4214-97BE-4A9F01490486}"/>
    <cellStyle name="Normal 9 2 2 2 2 6 2 3" xfId="12900" xr:uid="{160B6640-1D1D-4621-AA8D-D7512C16F7D4}"/>
    <cellStyle name="Normal 9 2 2 2 2 6 3" xfId="6531" xr:uid="{00000000-0005-0000-0000-0000931E0000}"/>
    <cellStyle name="Normal 9 2 2 2 2 6 3 2" xfId="14973" xr:uid="{205C5ADB-C684-48D4-A105-7CFEAA61B5CA}"/>
    <cellStyle name="Normal 9 2 2 2 2 6 4" xfId="10755" xr:uid="{8234D6CC-3A9F-450F-B8AF-226CE993A321}"/>
    <cellStyle name="Normal 9 2 2 2 2 7" xfId="2660" xr:uid="{00000000-0005-0000-0000-0000941E0000}"/>
    <cellStyle name="Normal 9 2 2 2 2 7 2" xfId="6944" xr:uid="{00000000-0005-0000-0000-0000951E0000}"/>
    <cellStyle name="Normal 9 2 2 2 2 7 2 2" xfId="15386" xr:uid="{39FA2FF8-C317-4EEF-B82B-FD82184252AD}"/>
    <cellStyle name="Normal 9 2 2 2 2 7 3" xfId="11168" xr:uid="{BDBE8CF8-37EB-4091-AF06-B2BF4A230330}"/>
    <cellStyle name="Normal 9 2 2 2 2 8" xfId="4879" xr:uid="{00000000-0005-0000-0000-0000961E0000}"/>
    <cellStyle name="Normal 9 2 2 2 2 8 2" xfId="13321" xr:uid="{156CD8FE-0A9A-4EAE-929C-C35372ECA0E2}"/>
    <cellStyle name="Normal 9 2 2 2 2 9" xfId="9103" xr:uid="{DDD1CCB5-3877-40BB-9FBF-69C029FBDD9B}"/>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F553C076-2560-4F27-8822-2E4624D2AF21}"/>
    <cellStyle name="Normal 9 2 2 2 3 2 2 3" xfId="11663" xr:uid="{36F1259B-D75A-4985-A2BC-DBAE82557CCA}"/>
    <cellStyle name="Normal 9 2 2 2 3 2 3" xfId="5294" xr:uid="{00000000-0005-0000-0000-00009B1E0000}"/>
    <cellStyle name="Normal 9 2 2 2 3 2 3 2" xfId="13736" xr:uid="{AC39D4CD-017F-4A34-91E7-3171E840A904}"/>
    <cellStyle name="Normal 9 2 2 2 3 2 4" xfId="9518" xr:uid="{66FCC910-EB2F-424C-A563-7EE1CCE6E89C}"/>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36E7559E-A6AD-4B9C-8AAF-232F3F90AAC5}"/>
    <cellStyle name="Normal 9 2 2 2 3 3 2 3" xfId="12076" xr:uid="{E6C9ABF1-D5FA-4CBA-8E4A-B3EEB8BA660B}"/>
    <cellStyle name="Normal 9 2 2 2 3 3 3" xfId="5707" xr:uid="{00000000-0005-0000-0000-00009F1E0000}"/>
    <cellStyle name="Normal 9 2 2 2 3 3 3 2" xfId="14149" xr:uid="{E319B064-B51F-4513-B5A0-6D752B5FDECE}"/>
    <cellStyle name="Normal 9 2 2 2 3 3 4" xfId="9931" xr:uid="{A6E3AA7E-473F-4CE0-A232-467116C10593}"/>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82A59E97-F8E2-44DC-86C5-7D24B79E73C6}"/>
    <cellStyle name="Normal 9 2 2 2 3 4 2 3" xfId="12489" xr:uid="{0F5E73D5-2E08-43D9-93C9-0125B3076E58}"/>
    <cellStyle name="Normal 9 2 2 2 3 4 3" xfId="6120" xr:uid="{00000000-0005-0000-0000-0000A31E0000}"/>
    <cellStyle name="Normal 9 2 2 2 3 4 3 2" xfId="14562" xr:uid="{18B1E869-EEB6-483F-87D6-F4E6E5016E98}"/>
    <cellStyle name="Normal 9 2 2 2 3 4 4" xfId="10344" xr:uid="{933AAF5A-79AF-4B11-9599-4DFE4970A1D4}"/>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DBD3BCAE-B9DD-492D-A3FB-F57B04FE61FA}"/>
    <cellStyle name="Normal 9 2 2 2 3 5 2 3" xfId="12902" xr:uid="{E8E8A846-3507-48CD-958F-C1E906F0D54F}"/>
    <cellStyle name="Normal 9 2 2 2 3 5 3" xfId="6533" xr:uid="{00000000-0005-0000-0000-0000A71E0000}"/>
    <cellStyle name="Normal 9 2 2 2 3 5 3 2" xfId="14975" xr:uid="{65A21F41-42A2-4563-A967-DA4340507444}"/>
    <cellStyle name="Normal 9 2 2 2 3 5 4" xfId="10757" xr:uid="{5A015553-5197-4068-B5AD-0D0CB16F098C}"/>
    <cellStyle name="Normal 9 2 2 2 3 6" xfId="2662" xr:uid="{00000000-0005-0000-0000-0000A81E0000}"/>
    <cellStyle name="Normal 9 2 2 2 3 6 2" xfId="6946" xr:uid="{00000000-0005-0000-0000-0000A91E0000}"/>
    <cellStyle name="Normal 9 2 2 2 3 6 2 2" xfId="15388" xr:uid="{59A3E4A9-380E-45D7-B6EB-875AB78263CA}"/>
    <cellStyle name="Normal 9 2 2 2 3 6 3" xfId="11170" xr:uid="{87A10CD0-2AE5-44B6-BC3E-95E872223B8F}"/>
    <cellStyle name="Normal 9 2 2 2 3 7" xfId="4881" xr:uid="{00000000-0005-0000-0000-0000AA1E0000}"/>
    <cellStyle name="Normal 9 2 2 2 3 7 2" xfId="13323" xr:uid="{3685ACB3-8743-479F-875F-032F822E08D7}"/>
    <cellStyle name="Normal 9 2 2 2 3 8" xfId="9105" xr:uid="{B8EA5F04-4AB9-4A87-926F-6A41BD042E3A}"/>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7AF26C4A-03EB-4279-B11F-7D22A8819447}"/>
    <cellStyle name="Normal 9 2 2 2 4 2 3" xfId="11660" xr:uid="{D8A8FC84-FCD8-431D-96DE-8438FFDEF734}"/>
    <cellStyle name="Normal 9 2 2 2 4 3" xfId="5291" xr:uid="{00000000-0005-0000-0000-0000AE1E0000}"/>
    <cellStyle name="Normal 9 2 2 2 4 3 2" xfId="13733" xr:uid="{1EA968B3-19F8-4A0E-9080-D1963F8D9A91}"/>
    <cellStyle name="Normal 9 2 2 2 4 4" xfId="9515" xr:uid="{FD192411-75EA-4097-B58E-1645E58BD53B}"/>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50EB483B-7535-46D1-B552-13EC0B53F30E}"/>
    <cellStyle name="Normal 9 2 2 2 5 2 3" xfId="12073" xr:uid="{87C8C6C5-03CF-4BFF-91AC-6B7F19BDABD8}"/>
    <cellStyle name="Normal 9 2 2 2 5 3" xfId="5704" xr:uid="{00000000-0005-0000-0000-0000B21E0000}"/>
    <cellStyle name="Normal 9 2 2 2 5 3 2" xfId="14146" xr:uid="{E0FE87AB-D731-477A-817A-A63213F7848A}"/>
    <cellStyle name="Normal 9 2 2 2 5 4" xfId="9928" xr:uid="{93FC7FCF-D90F-40EC-8891-6B5ACD586921}"/>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ECB08F8D-2AFD-458A-A567-F1F72D7EEE5E}"/>
    <cellStyle name="Normal 9 2 2 2 6 2 3" xfId="12486" xr:uid="{F9361749-2ACA-4851-898A-7679D372BD59}"/>
    <cellStyle name="Normal 9 2 2 2 6 3" xfId="6117" xr:uid="{00000000-0005-0000-0000-0000B61E0000}"/>
    <cellStyle name="Normal 9 2 2 2 6 3 2" xfId="14559" xr:uid="{8B52B087-1A87-4667-A71E-DBF99938AED0}"/>
    <cellStyle name="Normal 9 2 2 2 6 4" xfId="10341" xr:uid="{7BDD8B95-74C9-4D90-8DC4-507715FC3758}"/>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46817404-4B3C-435A-A13F-D7736CE62BC0}"/>
    <cellStyle name="Normal 9 2 2 2 7 2 3" xfId="12899" xr:uid="{C3C4DE4F-F4B5-463A-B381-FAF339BD8A1E}"/>
    <cellStyle name="Normal 9 2 2 2 7 3" xfId="6530" xr:uid="{00000000-0005-0000-0000-0000BA1E0000}"/>
    <cellStyle name="Normal 9 2 2 2 7 3 2" xfId="14972" xr:uid="{306DF42B-8572-438C-9700-47A9AF369DE1}"/>
    <cellStyle name="Normal 9 2 2 2 7 4" xfId="10754" xr:uid="{B06A95D0-0F10-42AE-80C3-5B19E17DF80A}"/>
    <cellStyle name="Normal 9 2 2 2 8" xfId="2659" xr:uid="{00000000-0005-0000-0000-0000BB1E0000}"/>
    <cellStyle name="Normal 9 2 2 2 8 2" xfId="6943" xr:uid="{00000000-0005-0000-0000-0000BC1E0000}"/>
    <cellStyle name="Normal 9 2 2 2 8 2 2" xfId="15385" xr:uid="{B2D8EB62-F91F-4D66-809B-B1C9A90EB14B}"/>
    <cellStyle name="Normal 9 2 2 2 8 3" xfId="11167" xr:uid="{5D800EC1-4A80-4225-B268-373CE7F159C3}"/>
    <cellStyle name="Normal 9 2 2 2 9" xfId="4878" xr:uid="{00000000-0005-0000-0000-0000BD1E0000}"/>
    <cellStyle name="Normal 9 2 2 2 9 2" xfId="13320" xr:uid="{E1AAD2E8-0FAF-4101-A3B9-15FF9E07CF1C}"/>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BA6F025B-663D-427A-A530-0C64F81099CD}"/>
    <cellStyle name="Normal 9 2 2 3 2 2 2 3" xfId="11665" xr:uid="{DE74042F-D622-41CB-92D4-047C80CF1CA8}"/>
    <cellStyle name="Normal 9 2 2 3 2 2 3" xfId="5296" xr:uid="{00000000-0005-0000-0000-0000C31E0000}"/>
    <cellStyle name="Normal 9 2 2 3 2 2 3 2" xfId="13738" xr:uid="{1669AA74-A474-474B-9B6D-2998C708F366}"/>
    <cellStyle name="Normal 9 2 2 3 2 2 4" xfId="9520" xr:uid="{9A332DE8-C5C7-4495-9795-D29E84C5CE8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6B6F645A-D6E9-4300-BB91-A89E87FD8652}"/>
    <cellStyle name="Normal 9 2 2 3 2 3 2 3" xfId="12078" xr:uid="{DA05BF39-B6AC-4D4A-ADFD-579556A667A7}"/>
    <cellStyle name="Normal 9 2 2 3 2 3 3" xfId="5709" xr:uid="{00000000-0005-0000-0000-0000C71E0000}"/>
    <cellStyle name="Normal 9 2 2 3 2 3 3 2" xfId="14151" xr:uid="{94FD2641-7718-4698-A23E-794D5A3BB215}"/>
    <cellStyle name="Normal 9 2 2 3 2 3 4" xfId="9933" xr:uid="{49CF2E4F-8448-462E-8FA7-F578EA5C05A8}"/>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8969C14B-74A8-4516-BF04-0A89E548EC0E}"/>
    <cellStyle name="Normal 9 2 2 3 2 4 2 3" xfId="12491" xr:uid="{11CA1DCB-EF0E-47D6-B668-5FFB6F4B2954}"/>
    <cellStyle name="Normal 9 2 2 3 2 4 3" xfId="6122" xr:uid="{00000000-0005-0000-0000-0000CB1E0000}"/>
    <cellStyle name="Normal 9 2 2 3 2 4 3 2" xfId="14564" xr:uid="{6674E1B0-B4F4-4936-8E4B-752D30C98A41}"/>
    <cellStyle name="Normal 9 2 2 3 2 4 4" xfId="10346" xr:uid="{32AE6F6A-A63C-4016-9AE7-7A25767A2CAD}"/>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F35ED93C-0A14-4EE7-B27E-C0F9C6F25CA5}"/>
    <cellStyle name="Normal 9 2 2 3 2 5 2 3" xfId="12904" xr:uid="{7C1BC9FC-55C5-437C-951E-AC9534FB7B38}"/>
    <cellStyle name="Normal 9 2 2 3 2 5 3" xfId="6535" xr:uid="{00000000-0005-0000-0000-0000CF1E0000}"/>
    <cellStyle name="Normal 9 2 2 3 2 5 3 2" xfId="14977" xr:uid="{6E32F47C-03B8-4142-98A6-083C037349FB}"/>
    <cellStyle name="Normal 9 2 2 3 2 5 4" xfId="10759" xr:uid="{A8CB40C5-F1D1-4F27-8DC8-C54B2DFEFEEE}"/>
    <cellStyle name="Normal 9 2 2 3 2 6" xfId="2664" xr:uid="{00000000-0005-0000-0000-0000D01E0000}"/>
    <cellStyle name="Normal 9 2 2 3 2 6 2" xfId="6948" xr:uid="{00000000-0005-0000-0000-0000D11E0000}"/>
    <cellStyle name="Normal 9 2 2 3 2 6 2 2" xfId="15390" xr:uid="{B010E75A-C051-4C9D-AC2C-EAC2932A0C6D}"/>
    <cellStyle name="Normal 9 2 2 3 2 6 3" xfId="11172" xr:uid="{692F89A5-0849-4500-83EF-2ACAAE02DB0B}"/>
    <cellStyle name="Normal 9 2 2 3 2 7" xfId="4883" xr:uid="{00000000-0005-0000-0000-0000D21E0000}"/>
    <cellStyle name="Normal 9 2 2 3 2 7 2" xfId="13325" xr:uid="{BBECBEA5-E0E2-45FD-B662-704090FA42C6}"/>
    <cellStyle name="Normal 9 2 2 3 2 8" xfId="9107" xr:uid="{445F73F6-458B-45B2-AF41-961AFCA83C94}"/>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3B43E027-166F-447C-A1B2-294CC155A66F}"/>
    <cellStyle name="Normal 9 2 2 3 3 2 3" xfId="11664" xr:uid="{F8CE22BD-F152-42C7-B3D8-4DF312C258FB}"/>
    <cellStyle name="Normal 9 2 2 3 3 3" xfId="5295" xr:uid="{00000000-0005-0000-0000-0000D61E0000}"/>
    <cellStyle name="Normal 9 2 2 3 3 3 2" xfId="13737" xr:uid="{4A0B0AC7-5680-45F1-A8D4-A550A8F78F9D}"/>
    <cellStyle name="Normal 9 2 2 3 3 4" xfId="9519" xr:uid="{49E226DA-DD8D-4268-9089-581D32C359D3}"/>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15472649-14B8-451C-B89A-63327D3A17EF}"/>
    <cellStyle name="Normal 9 2 2 3 4 2 3" xfId="12077" xr:uid="{BC2BF215-E49A-43C9-8332-F565B64E00F9}"/>
    <cellStyle name="Normal 9 2 2 3 4 3" xfId="5708" xr:uid="{00000000-0005-0000-0000-0000DA1E0000}"/>
    <cellStyle name="Normal 9 2 2 3 4 3 2" xfId="14150" xr:uid="{E6C1256B-F84E-4BD7-A25F-6410CF02D0FB}"/>
    <cellStyle name="Normal 9 2 2 3 4 4" xfId="9932" xr:uid="{837638F4-F0C7-4EC9-84B7-F1735C0D212A}"/>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F9747762-9B1F-4123-B839-FECFB8E08765}"/>
    <cellStyle name="Normal 9 2 2 3 5 2 3" xfId="12490" xr:uid="{50D5354F-E442-415D-8BB2-67D3419B8974}"/>
    <cellStyle name="Normal 9 2 2 3 5 3" xfId="6121" xr:uid="{00000000-0005-0000-0000-0000DE1E0000}"/>
    <cellStyle name="Normal 9 2 2 3 5 3 2" xfId="14563" xr:uid="{9EB1275B-348B-47D3-9297-69F75F5F23CB}"/>
    <cellStyle name="Normal 9 2 2 3 5 4" xfId="10345" xr:uid="{87BEBB56-D4ED-4692-91A9-672A4CCD8E73}"/>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21A9A104-3109-4BAF-82AD-035B590E8DF5}"/>
    <cellStyle name="Normal 9 2 2 3 6 2 3" xfId="12903" xr:uid="{C5C17F2F-B60A-4294-BDBF-CB69CA4A88BC}"/>
    <cellStyle name="Normal 9 2 2 3 6 3" xfId="6534" xr:uid="{00000000-0005-0000-0000-0000E21E0000}"/>
    <cellStyle name="Normal 9 2 2 3 6 3 2" xfId="14976" xr:uid="{89BDE642-4F19-4E40-9E47-98EA4AA57B20}"/>
    <cellStyle name="Normal 9 2 2 3 6 4" xfId="10758" xr:uid="{18FB666F-5C9D-4882-ABCF-C64294BE4A9B}"/>
    <cellStyle name="Normal 9 2 2 3 7" xfId="2663" xr:uid="{00000000-0005-0000-0000-0000E31E0000}"/>
    <cellStyle name="Normal 9 2 2 3 7 2" xfId="6947" xr:uid="{00000000-0005-0000-0000-0000E41E0000}"/>
    <cellStyle name="Normal 9 2 2 3 7 2 2" xfId="15389" xr:uid="{7C6F6D08-960D-4CFF-A262-F981A496307F}"/>
    <cellStyle name="Normal 9 2 2 3 7 3" xfId="11171" xr:uid="{A6CF76CD-1F69-4590-8F46-11C508ECBED8}"/>
    <cellStyle name="Normal 9 2 2 3 8" xfId="4882" xr:uid="{00000000-0005-0000-0000-0000E51E0000}"/>
    <cellStyle name="Normal 9 2 2 3 8 2" xfId="13324" xr:uid="{8520CA7D-0747-4BE0-819E-1B41D7701F7C}"/>
    <cellStyle name="Normal 9 2 2 3 9" xfId="9106" xr:uid="{2DBBE42F-8543-45E9-9A26-DF93B6D254ED}"/>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5D529562-DF06-498F-9006-3322AAE449C5}"/>
    <cellStyle name="Normal 9 2 2 4 2 2 3" xfId="11666" xr:uid="{8C5A3824-96AD-458B-A259-708369B034D3}"/>
    <cellStyle name="Normal 9 2 2 4 2 3" xfId="5297" xr:uid="{00000000-0005-0000-0000-0000EA1E0000}"/>
    <cellStyle name="Normal 9 2 2 4 2 3 2" xfId="13739" xr:uid="{241DE006-B3CA-4A5F-BD0A-E68B158182D9}"/>
    <cellStyle name="Normal 9 2 2 4 2 4" xfId="9521" xr:uid="{DFA3BAA2-4210-4A13-A7D5-8682CCC616F5}"/>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43830030-73BE-45CD-9DB5-B3FEBC6BD6C2}"/>
    <cellStyle name="Normal 9 2 2 4 3 2 3" xfId="12079" xr:uid="{E0BEA4B2-B7D5-456B-BA71-4D879FFF1FC5}"/>
    <cellStyle name="Normal 9 2 2 4 3 3" xfId="5710" xr:uid="{00000000-0005-0000-0000-0000EE1E0000}"/>
    <cellStyle name="Normal 9 2 2 4 3 3 2" xfId="14152" xr:uid="{BE240ABF-AE3D-4360-939E-6A3942621877}"/>
    <cellStyle name="Normal 9 2 2 4 3 4" xfId="9934" xr:uid="{28102301-27A9-4A64-AAF2-DF8E3AF03D36}"/>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B7988735-3560-411A-B015-24E42F9B403C}"/>
    <cellStyle name="Normal 9 2 2 4 4 2 3" xfId="12492" xr:uid="{61F5A544-1A9D-4CAC-BB96-BA13F3CFB48F}"/>
    <cellStyle name="Normal 9 2 2 4 4 3" xfId="6123" xr:uid="{00000000-0005-0000-0000-0000F21E0000}"/>
    <cellStyle name="Normal 9 2 2 4 4 3 2" xfId="14565" xr:uid="{321B42A8-D694-42A7-8B81-9EE4D9353DE2}"/>
    <cellStyle name="Normal 9 2 2 4 4 4" xfId="10347" xr:uid="{6BDB31F5-CB80-488D-9745-26A4FEB546E2}"/>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DA050E83-ED88-4073-BD3D-0CE36B3906AC}"/>
    <cellStyle name="Normal 9 2 2 4 5 2 3" xfId="12905" xr:uid="{D1D006F7-B062-4072-8ADA-560899AE3619}"/>
    <cellStyle name="Normal 9 2 2 4 5 3" xfId="6536" xr:uid="{00000000-0005-0000-0000-0000F61E0000}"/>
    <cellStyle name="Normal 9 2 2 4 5 3 2" xfId="14978" xr:uid="{2FD4CB7D-5F38-447D-8855-B23BB5D82F5F}"/>
    <cellStyle name="Normal 9 2 2 4 5 4" xfId="10760" xr:uid="{8C537B5B-A242-49FC-941E-4D448DC4B9F9}"/>
    <cellStyle name="Normal 9 2 2 4 6" xfId="2665" xr:uid="{00000000-0005-0000-0000-0000F71E0000}"/>
    <cellStyle name="Normal 9 2 2 4 6 2" xfId="6949" xr:uid="{00000000-0005-0000-0000-0000F81E0000}"/>
    <cellStyle name="Normal 9 2 2 4 6 2 2" xfId="15391" xr:uid="{0872617B-D1E6-4AFA-BC56-98084D42BB8B}"/>
    <cellStyle name="Normal 9 2 2 4 6 3" xfId="11173" xr:uid="{B2890945-63C1-4405-9006-49C47FBC47C9}"/>
    <cellStyle name="Normal 9 2 2 4 7" xfId="4884" xr:uid="{00000000-0005-0000-0000-0000F91E0000}"/>
    <cellStyle name="Normal 9 2 2 4 7 2" xfId="13326" xr:uid="{EF8CF90F-76F4-4BCC-B05E-816A33BA0E2B}"/>
    <cellStyle name="Normal 9 2 2 4 8" xfId="9108" xr:uid="{856E1134-1A0F-4E56-B716-9FD5CB85BD89}"/>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C4F71663-793D-492E-8D3D-B82815CEF11D}"/>
    <cellStyle name="Normal 9 2 2 5 2 3" xfId="11659" xr:uid="{89A25395-4D5A-49CE-A75C-D6EE9C053C02}"/>
    <cellStyle name="Normal 9 2 2 5 3" xfId="5290" xr:uid="{00000000-0005-0000-0000-0000FD1E0000}"/>
    <cellStyle name="Normal 9 2 2 5 3 2" xfId="13732" xr:uid="{508E47C0-A6D6-421D-96E9-0FA8ABF15CF4}"/>
    <cellStyle name="Normal 9 2 2 5 4" xfId="9514" xr:uid="{831EBD79-5CC7-48A8-817E-62A648CDCCF2}"/>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903F477D-C493-4641-B9FF-69F263E6226B}"/>
    <cellStyle name="Normal 9 2 2 6 2 3" xfId="12072" xr:uid="{6E164648-C5B3-4E17-BBCC-AC01AF3437EB}"/>
    <cellStyle name="Normal 9 2 2 6 3" xfId="5703" xr:uid="{00000000-0005-0000-0000-0000011F0000}"/>
    <cellStyle name="Normal 9 2 2 6 3 2" xfId="14145" xr:uid="{9A9093C1-569C-4C1C-9C20-780740B61A06}"/>
    <cellStyle name="Normal 9 2 2 6 4" xfId="9927" xr:uid="{1CD4F6C8-0CEA-447D-9ACE-5155FBC9E0B8}"/>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143F62ED-6A93-4B06-8718-81C2F61FBA79}"/>
    <cellStyle name="Normal 9 2 2 7 2 3" xfId="12485" xr:uid="{7C54AD2E-088D-4F91-9498-5E0162FD8C13}"/>
    <cellStyle name="Normal 9 2 2 7 3" xfId="6116" xr:uid="{00000000-0005-0000-0000-0000051F0000}"/>
    <cellStyle name="Normal 9 2 2 7 3 2" xfId="14558" xr:uid="{ECC6473E-6FA3-4D2E-A125-CE4D6B7D29A9}"/>
    <cellStyle name="Normal 9 2 2 7 4" xfId="10340" xr:uid="{E4AC814C-2E95-47A6-A331-43E22E11BA99}"/>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05B00C0B-7982-4718-B0DE-A057B556B1CB}"/>
    <cellStyle name="Normal 9 2 2 8 2 3" xfId="12898" xr:uid="{FFDF4A78-2585-4FC8-9E44-18CB7554B982}"/>
    <cellStyle name="Normal 9 2 2 8 3" xfId="6529" xr:uid="{00000000-0005-0000-0000-0000091F0000}"/>
    <cellStyle name="Normal 9 2 2 8 3 2" xfId="14971" xr:uid="{184B313B-F7F4-4DE1-9A5A-9556D2602CC9}"/>
    <cellStyle name="Normal 9 2 2 8 4" xfId="10753" xr:uid="{B3722B0C-9946-4B93-BED0-6D14C3C97AFE}"/>
    <cellStyle name="Normal 9 2 2 9" xfId="2658" xr:uid="{00000000-0005-0000-0000-00000A1F0000}"/>
    <cellStyle name="Normal 9 2 2 9 2" xfId="6942" xr:uid="{00000000-0005-0000-0000-00000B1F0000}"/>
    <cellStyle name="Normal 9 2 2 9 2 2" xfId="15384" xr:uid="{EB9CC5AB-2280-469D-B4AA-E8069B008B54}"/>
    <cellStyle name="Normal 9 2 2 9 3" xfId="11166" xr:uid="{63602DE5-388E-4F5B-9569-66F952A61EE9}"/>
    <cellStyle name="Normal 9 2 3" xfId="520" xr:uid="{00000000-0005-0000-0000-00000C1F0000}"/>
    <cellStyle name="Normal 9 2 3 10" xfId="9109" xr:uid="{826C35D9-F04C-4CD1-AD91-AC00527C964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54540876-1933-4975-B746-E630F352CF83}"/>
    <cellStyle name="Normal 9 2 3 2 2 2 2 3" xfId="11669" xr:uid="{389A3398-909F-4629-A292-E4386E2B5B27}"/>
    <cellStyle name="Normal 9 2 3 2 2 2 3" xfId="5300" xr:uid="{00000000-0005-0000-0000-0000121F0000}"/>
    <cellStyle name="Normal 9 2 3 2 2 2 3 2" xfId="13742" xr:uid="{BD85017A-7FCD-4884-B7C4-529DB55CD8C3}"/>
    <cellStyle name="Normal 9 2 3 2 2 2 4" xfId="9524" xr:uid="{8F4299EC-48E6-4893-9373-B66F8C7F13B6}"/>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570291AA-E2FE-431D-8BB3-C671A248D122}"/>
    <cellStyle name="Normal 9 2 3 2 2 3 2 3" xfId="12082" xr:uid="{723FAAE2-B28C-47DD-A88C-F053D252E6D2}"/>
    <cellStyle name="Normal 9 2 3 2 2 3 3" xfId="5713" xr:uid="{00000000-0005-0000-0000-0000161F0000}"/>
    <cellStyle name="Normal 9 2 3 2 2 3 3 2" xfId="14155" xr:uid="{B86BD18C-5D3B-4E17-BB4E-F8830C459A36}"/>
    <cellStyle name="Normal 9 2 3 2 2 3 4" xfId="9937" xr:uid="{1AEDF23E-88B0-4CC7-AEDF-1E425C20FA28}"/>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DFD86596-6E8C-4DF6-8B42-AA78463AC182}"/>
    <cellStyle name="Normal 9 2 3 2 2 4 2 3" xfId="12495" xr:uid="{A32587E9-67A3-4C4C-8E11-9AB17F1127D3}"/>
    <cellStyle name="Normal 9 2 3 2 2 4 3" xfId="6126" xr:uid="{00000000-0005-0000-0000-00001A1F0000}"/>
    <cellStyle name="Normal 9 2 3 2 2 4 3 2" xfId="14568" xr:uid="{4A75AD0B-280E-4646-B989-8B9C19BFD04E}"/>
    <cellStyle name="Normal 9 2 3 2 2 4 4" xfId="10350" xr:uid="{4E6CA72F-5585-410C-BA8E-D86F1B99BE1F}"/>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20C1F3D0-A5A2-4D45-83CF-08BF48E6006D}"/>
    <cellStyle name="Normal 9 2 3 2 2 5 2 3" xfId="12908" xr:uid="{14FE3E00-6251-454F-AD3E-853090993F27}"/>
    <cellStyle name="Normal 9 2 3 2 2 5 3" xfId="6539" xr:uid="{00000000-0005-0000-0000-00001E1F0000}"/>
    <cellStyle name="Normal 9 2 3 2 2 5 3 2" xfId="14981" xr:uid="{EFCBD689-912D-4E7C-A420-2DF4A090250C}"/>
    <cellStyle name="Normal 9 2 3 2 2 5 4" xfId="10763" xr:uid="{608C5FE7-62A0-437B-82C3-E7345F48A03B}"/>
    <cellStyle name="Normal 9 2 3 2 2 6" xfId="2668" xr:uid="{00000000-0005-0000-0000-00001F1F0000}"/>
    <cellStyle name="Normal 9 2 3 2 2 6 2" xfId="6952" xr:uid="{00000000-0005-0000-0000-0000201F0000}"/>
    <cellStyle name="Normal 9 2 3 2 2 6 2 2" xfId="15394" xr:uid="{22478E65-0D02-4AD4-831C-1749511019E4}"/>
    <cellStyle name="Normal 9 2 3 2 2 6 3" xfId="11176" xr:uid="{BA747058-589A-465C-97A5-D893501C1EDC}"/>
    <cellStyle name="Normal 9 2 3 2 2 7" xfId="4887" xr:uid="{00000000-0005-0000-0000-0000211F0000}"/>
    <cellStyle name="Normal 9 2 3 2 2 7 2" xfId="13329" xr:uid="{11BD1CA6-73B1-4707-B80A-7A8C0BF3361E}"/>
    <cellStyle name="Normal 9 2 3 2 2 8" xfId="9111" xr:uid="{7AB98128-8127-4C26-88F7-9259F7242B39}"/>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4528710E-82E1-4A6F-A7CD-379B94DBEA80}"/>
    <cellStyle name="Normal 9 2 3 2 3 2 3" xfId="11668" xr:uid="{0EABB2EE-3269-45A3-BEF8-A9EA569D218B}"/>
    <cellStyle name="Normal 9 2 3 2 3 3" xfId="5299" xr:uid="{00000000-0005-0000-0000-0000251F0000}"/>
    <cellStyle name="Normal 9 2 3 2 3 3 2" xfId="13741" xr:uid="{1A8CE732-7AD0-46D0-A210-98BE61520B19}"/>
    <cellStyle name="Normal 9 2 3 2 3 4" xfId="9523" xr:uid="{CA85C6BA-A1DC-4A2A-B8B7-0C0D16303A69}"/>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412F39DF-7072-4D10-AB9E-0DC8DDBF13C4}"/>
    <cellStyle name="Normal 9 2 3 2 4 2 3" xfId="12081" xr:uid="{403842B4-9C7D-4DB7-A29D-9DCEBDF9EAEA}"/>
    <cellStyle name="Normal 9 2 3 2 4 3" xfId="5712" xr:uid="{00000000-0005-0000-0000-0000291F0000}"/>
    <cellStyle name="Normal 9 2 3 2 4 3 2" xfId="14154" xr:uid="{E1083032-B290-46AB-A548-DC9DC8BE2C3B}"/>
    <cellStyle name="Normal 9 2 3 2 4 4" xfId="9936" xr:uid="{23E5D599-BD8E-4F3E-AB83-636D0FB35C03}"/>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1F5ED20F-E56D-4C64-88E8-BA9DD2777281}"/>
    <cellStyle name="Normal 9 2 3 2 5 2 3" xfId="12494" xr:uid="{F03D97CF-F230-406D-A45D-EEB13CFFD07B}"/>
    <cellStyle name="Normal 9 2 3 2 5 3" xfId="6125" xr:uid="{00000000-0005-0000-0000-00002D1F0000}"/>
    <cellStyle name="Normal 9 2 3 2 5 3 2" xfId="14567" xr:uid="{27D747E8-B52B-428D-8FF8-D822142FF22F}"/>
    <cellStyle name="Normal 9 2 3 2 5 4" xfId="10349" xr:uid="{20F39385-7255-4756-9C94-F3B984DFDC66}"/>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0DC00236-9A6E-4B88-A5C0-6B71811F0AE5}"/>
    <cellStyle name="Normal 9 2 3 2 6 2 3" xfId="12907" xr:uid="{692A0BCC-6488-440C-8B0E-2E95867897C4}"/>
    <cellStyle name="Normal 9 2 3 2 6 3" xfId="6538" xr:uid="{00000000-0005-0000-0000-0000311F0000}"/>
    <cellStyle name="Normal 9 2 3 2 6 3 2" xfId="14980" xr:uid="{694CAFAE-1B2F-49A6-9F0B-3CC943D2349F}"/>
    <cellStyle name="Normal 9 2 3 2 6 4" xfId="10762" xr:uid="{FD60FA82-A17B-424D-9AC8-A27D29D8DCDA}"/>
    <cellStyle name="Normal 9 2 3 2 7" xfId="2667" xr:uid="{00000000-0005-0000-0000-0000321F0000}"/>
    <cellStyle name="Normal 9 2 3 2 7 2" xfId="6951" xr:uid="{00000000-0005-0000-0000-0000331F0000}"/>
    <cellStyle name="Normal 9 2 3 2 7 2 2" xfId="15393" xr:uid="{5272816B-9F8F-4E9E-AAD1-F5F323CE9BB8}"/>
    <cellStyle name="Normal 9 2 3 2 7 3" xfId="11175" xr:uid="{CE6D6795-DA43-4C6F-BBC2-82EFC7A209FC}"/>
    <cellStyle name="Normal 9 2 3 2 8" xfId="4886" xr:uid="{00000000-0005-0000-0000-0000341F0000}"/>
    <cellStyle name="Normal 9 2 3 2 8 2" xfId="13328" xr:uid="{276B3F91-FE96-424E-BDA9-51F24B9B38C6}"/>
    <cellStyle name="Normal 9 2 3 2 9" xfId="9110" xr:uid="{59293EDD-5F55-4483-B68C-666B6C3A9029}"/>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50FAEB41-2F70-4088-8BCF-55B3A76AB8B0}"/>
    <cellStyle name="Normal 9 2 3 3 2 2 3" xfId="11670" xr:uid="{B368AC46-2D59-4711-96C0-A91B76A2D04C}"/>
    <cellStyle name="Normal 9 2 3 3 2 3" xfId="5301" xr:uid="{00000000-0005-0000-0000-0000391F0000}"/>
    <cellStyle name="Normal 9 2 3 3 2 3 2" xfId="13743" xr:uid="{15E6E0F9-B540-4580-A526-89EC24F3D0AB}"/>
    <cellStyle name="Normal 9 2 3 3 2 4" xfId="9525" xr:uid="{F91676FD-A086-41C9-AE18-352E18637E22}"/>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313F1C05-E490-48BD-8A63-6215D597D74B}"/>
    <cellStyle name="Normal 9 2 3 3 3 2 3" xfId="12083" xr:uid="{36BFD18E-BB06-43FB-8817-3F826580F6F1}"/>
    <cellStyle name="Normal 9 2 3 3 3 3" xfId="5714" xr:uid="{00000000-0005-0000-0000-00003D1F0000}"/>
    <cellStyle name="Normal 9 2 3 3 3 3 2" xfId="14156" xr:uid="{FD91A1C4-582C-435F-BB49-EEB7EF32CAAE}"/>
    <cellStyle name="Normal 9 2 3 3 3 4" xfId="9938" xr:uid="{9644CC3C-3875-4474-A76E-FA4756AED1EA}"/>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B7DB8A67-AF63-4F47-95F4-BF8A033B0EA5}"/>
    <cellStyle name="Normal 9 2 3 3 4 2 3" xfId="12496" xr:uid="{F023CA72-6720-44ED-A7D2-4A2BBE1F8832}"/>
    <cellStyle name="Normal 9 2 3 3 4 3" xfId="6127" xr:uid="{00000000-0005-0000-0000-0000411F0000}"/>
    <cellStyle name="Normal 9 2 3 3 4 3 2" xfId="14569" xr:uid="{3C673FC6-530F-47F2-87CA-0006EDDAC85B}"/>
    <cellStyle name="Normal 9 2 3 3 4 4" xfId="10351" xr:uid="{D744411D-309F-4FB0-A7FE-78A29FB0E438}"/>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1BA8F2AF-1745-4529-8042-CEE2ECC0D33B}"/>
    <cellStyle name="Normal 9 2 3 3 5 2 3" xfId="12909" xr:uid="{78BC8E37-0922-4EF3-B58B-EAFC23CF3908}"/>
    <cellStyle name="Normal 9 2 3 3 5 3" xfId="6540" xr:uid="{00000000-0005-0000-0000-0000451F0000}"/>
    <cellStyle name="Normal 9 2 3 3 5 3 2" xfId="14982" xr:uid="{B96DA79E-C3E0-4CAB-82A6-D42A152AF8DC}"/>
    <cellStyle name="Normal 9 2 3 3 5 4" xfId="10764" xr:uid="{EB53A32D-1722-4306-9664-02FB60E8D3DA}"/>
    <cellStyle name="Normal 9 2 3 3 6" xfId="2669" xr:uid="{00000000-0005-0000-0000-0000461F0000}"/>
    <cellStyle name="Normal 9 2 3 3 6 2" xfId="6953" xr:uid="{00000000-0005-0000-0000-0000471F0000}"/>
    <cellStyle name="Normal 9 2 3 3 6 2 2" xfId="15395" xr:uid="{781CD2D3-5AAE-4AFC-8D2A-4327B431A92E}"/>
    <cellStyle name="Normal 9 2 3 3 6 3" xfId="11177" xr:uid="{85CAB2A4-71AD-4D00-B791-C9FF711DA261}"/>
    <cellStyle name="Normal 9 2 3 3 7" xfId="4888" xr:uid="{00000000-0005-0000-0000-0000481F0000}"/>
    <cellStyle name="Normal 9 2 3 3 7 2" xfId="13330" xr:uid="{7A0DB52E-0B89-4DA5-85B9-3854BD62CB2F}"/>
    <cellStyle name="Normal 9 2 3 3 8" xfId="9112" xr:uid="{2A226216-0680-4671-8E6A-7603CF18B8EB}"/>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116D8247-497C-4A9A-89AC-184B99FA949D}"/>
    <cellStyle name="Normal 9 2 3 4 2 3" xfId="11667" xr:uid="{391D8950-8317-46C5-8921-467E0AA7087A}"/>
    <cellStyle name="Normal 9 2 3 4 3" xfId="5298" xr:uid="{00000000-0005-0000-0000-00004C1F0000}"/>
    <cellStyle name="Normal 9 2 3 4 3 2" xfId="13740" xr:uid="{028E8450-F767-4D37-8877-5787C9E66AE0}"/>
    <cellStyle name="Normal 9 2 3 4 4" xfId="9522" xr:uid="{9FDA7CEA-A104-455F-83C0-2B7F54B6B544}"/>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3C96E3CF-0CB8-4A6F-83D4-ABD8B597664D}"/>
    <cellStyle name="Normal 9 2 3 5 2 3" xfId="12080" xr:uid="{5F502067-A93A-4164-9AF5-D31F922CF861}"/>
    <cellStyle name="Normal 9 2 3 5 3" xfId="5711" xr:uid="{00000000-0005-0000-0000-0000501F0000}"/>
    <cellStyle name="Normal 9 2 3 5 3 2" xfId="14153" xr:uid="{43F12E49-2F0F-4283-A6DE-C7D5ED8A6DF5}"/>
    <cellStyle name="Normal 9 2 3 5 4" xfId="9935" xr:uid="{B1362166-88E2-4DA7-8754-BC5FBDBF1C29}"/>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70076C8C-8D0A-4BBE-9C45-47906CB9CF84}"/>
    <cellStyle name="Normal 9 2 3 6 2 3" xfId="12493" xr:uid="{60B8E0AA-6B86-4C58-9077-6C114C230FC9}"/>
    <cellStyle name="Normal 9 2 3 6 3" xfId="6124" xr:uid="{00000000-0005-0000-0000-0000541F0000}"/>
    <cellStyle name="Normal 9 2 3 6 3 2" xfId="14566" xr:uid="{DB08184A-093D-4E6E-8E16-FD15E9A6D681}"/>
    <cellStyle name="Normal 9 2 3 6 4" xfId="10348" xr:uid="{5885A8DF-899E-465A-BC70-962B136A21CD}"/>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3E6E64E0-09A1-43A6-818E-EECCD1FFE3F9}"/>
    <cellStyle name="Normal 9 2 3 7 2 3" xfId="12906" xr:uid="{D31883A2-18CF-4BCE-B726-26B938481C77}"/>
    <cellStyle name="Normal 9 2 3 7 3" xfId="6537" xr:uid="{00000000-0005-0000-0000-0000581F0000}"/>
    <cellStyle name="Normal 9 2 3 7 3 2" xfId="14979" xr:uid="{8C82E13E-E3A8-424A-85A1-A3BE07770AFA}"/>
    <cellStyle name="Normal 9 2 3 7 4" xfId="10761" xr:uid="{2E203B2E-40B9-48DC-94E0-3B58EE978856}"/>
    <cellStyle name="Normal 9 2 3 8" xfId="2666" xr:uid="{00000000-0005-0000-0000-0000591F0000}"/>
    <cellStyle name="Normal 9 2 3 8 2" xfId="6950" xr:uid="{00000000-0005-0000-0000-00005A1F0000}"/>
    <cellStyle name="Normal 9 2 3 8 2 2" xfId="15392" xr:uid="{14FED8F4-F2BF-41CB-A24A-98C4BA1D956D}"/>
    <cellStyle name="Normal 9 2 3 8 3" xfId="11174" xr:uid="{6FA98F94-4389-4AD6-8678-FFC7728549BD}"/>
    <cellStyle name="Normal 9 2 3 9" xfId="4885" xr:uid="{00000000-0005-0000-0000-00005B1F0000}"/>
    <cellStyle name="Normal 9 2 3 9 2" xfId="13327" xr:uid="{14367DB4-5869-4EF6-A74B-DE170566B11B}"/>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A7959602-88B9-48BD-B790-584A2C06E9E1}"/>
    <cellStyle name="Normal 9 2 4 2 2 2 3" xfId="11672" xr:uid="{CD57B036-E7D7-46E5-B867-2D556782B093}"/>
    <cellStyle name="Normal 9 2 4 2 2 3" xfId="5303" xr:uid="{00000000-0005-0000-0000-0000611F0000}"/>
    <cellStyle name="Normal 9 2 4 2 2 3 2" xfId="13745" xr:uid="{6F64746D-C319-49A4-99D0-F7AEB8CD9090}"/>
    <cellStyle name="Normal 9 2 4 2 2 4" xfId="9527" xr:uid="{CF24D171-E224-45CC-B5F9-1CE6FBD3D67B}"/>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D3CD9937-4235-435F-9BF8-3960E368F626}"/>
    <cellStyle name="Normal 9 2 4 2 3 2 3" xfId="12085" xr:uid="{1ABE384E-D6EE-4F12-B119-7C1236A68F08}"/>
    <cellStyle name="Normal 9 2 4 2 3 3" xfId="5716" xr:uid="{00000000-0005-0000-0000-0000651F0000}"/>
    <cellStyle name="Normal 9 2 4 2 3 3 2" xfId="14158" xr:uid="{03209169-EA01-4D2C-B5F7-FA4456D121D6}"/>
    <cellStyle name="Normal 9 2 4 2 3 4" xfId="9940" xr:uid="{28339CC6-76E5-4769-B986-B27ACD112703}"/>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9C431489-30CF-4B61-B659-A82456F76FCB}"/>
    <cellStyle name="Normal 9 2 4 2 4 2 3" xfId="12498" xr:uid="{E12F694E-4765-4220-A9B6-2DFC4E21C74C}"/>
    <cellStyle name="Normal 9 2 4 2 4 3" xfId="6129" xr:uid="{00000000-0005-0000-0000-0000691F0000}"/>
    <cellStyle name="Normal 9 2 4 2 4 3 2" xfId="14571" xr:uid="{AF6A0E2D-C134-4EEB-BAC3-792E44B3F8B8}"/>
    <cellStyle name="Normal 9 2 4 2 4 4" xfId="10353" xr:uid="{62C30FD0-C437-4208-8E38-75B9F9362E28}"/>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5C0629EC-B3A3-4EF9-A9A2-E34CB57C3810}"/>
    <cellStyle name="Normal 9 2 4 2 5 2 3" xfId="12911" xr:uid="{646E614A-5054-4B5C-9C13-F469C55F8D4F}"/>
    <cellStyle name="Normal 9 2 4 2 5 3" xfId="6542" xr:uid="{00000000-0005-0000-0000-00006D1F0000}"/>
    <cellStyle name="Normal 9 2 4 2 5 3 2" xfId="14984" xr:uid="{4442BD4B-CDFA-407C-8E2C-4137FA64BDC3}"/>
    <cellStyle name="Normal 9 2 4 2 5 4" xfId="10766" xr:uid="{C0AE36AD-0C0E-46DE-8758-96B9A4702524}"/>
    <cellStyle name="Normal 9 2 4 2 6" xfId="2671" xr:uid="{00000000-0005-0000-0000-00006E1F0000}"/>
    <cellStyle name="Normal 9 2 4 2 6 2" xfId="6955" xr:uid="{00000000-0005-0000-0000-00006F1F0000}"/>
    <cellStyle name="Normal 9 2 4 2 6 2 2" xfId="15397" xr:uid="{6C73FDA5-31D4-4C98-A67B-E89EC2CA9CC2}"/>
    <cellStyle name="Normal 9 2 4 2 6 3" xfId="11179" xr:uid="{3920640C-4480-48AB-8E42-5EB3DEB7F59C}"/>
    <cellStyle name="Normal 9 2 4 2 7" xfId="4890" xr:uid="{00000000-0005-0000-0000-0000701F0000}"/>
    <cellStyle name="Normal 9 2 4 2 7 2" xfId="13332" xr:uid="{8761FE70-1695-4928-B595-624D4E46016E}"/>
    <cellStyle name="Normal 9 2 4 2 8" xfId="9114" xr:uid="{0DE6687F-7A14-493E-982A-DF29DC07DBE4}"/>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7104F827-F9BD-40E2-8EFC-BC8012017AB0}"/>
    <cellStyle name="Normal 9 2 4 3 2 3" xfId="11671" xr:uid="{70B23482-3991-4FD2-92F6-338A57DA1FA5}"/>
    <cellStyle name="Normal 9 2 4 3 3" xfId="5302" xr:uid="{00000000-0005-0000-0000-0000741F0000}"/>
    <cellStyle name="Normal 9 2 4 3 3 2" xfId="13744" xr:uid="{6170DD22-DF4E-4DF7-B2BE-11644FAF6071}"/>
    <cellStyle name="Normal 9 2 4 3 4" xfId="9526" xr:uid="{FE884C13-2354-4C2E-AFCE-E20118A9282F}"/>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CB3D6994-0189-4193-A0BD-E15E9B42BDA4}"/>
    <cellStyle name="Normal 9 2 4 4 2 3" xfId="12084" xr:uid="{48D02F54-22BC-45DB-AE0A-614B22E6C78A}"/>
    <cellStyle name="Normal 9 2 4 4 3" xfId="5715" xr:uid="{00000000-0005-0000-0000-0000781F0000}"/>
    <cellStyle name="Normal 9 2 4 4 3 2" xfId="14157" xr:uid="{4178A64A-68BD-44FE-B063-D7FE2210BE31}"/>
    <cellStyle name="Normal 9 2 4 4 4" xfId="9939" xr:uid="{0B91613E-0D22-4171-8CF7-E1C627C463A5}"/>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C8830957-036D-4DAA-A983-9A2243AFEE3B}"/>
    <cellStyle name="Normal 9 2 4 5 2 3" xfId="12497" xr:uid="{2E52BA04-D9D1-48A5-AFB0-516BD4C3D931}"/>
    <cellStyle name="Normal 9 2 4 5 3" xfId="6128" xr:uid="{00000000-0005-0000-0000-00007C1F0000}"/>
    <cellStyle name="Normal 9 2 4 5 3 2" xfId="14570" xr:uid="{9F9476A2-789F-4C44-ADC7-4FF480975A0A}"/>
    <cellStyle name="Normal 9 2 4 5 4" xfId="10352" xr:uid="{4B3F3F55-9298-46D7-B2AF-BD91C21DA889}"/>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3A0D481B-2CD8-468C-A2FB-23DBE55E1D1B}"/>
    <cellStyle name="Normal 9 2 4 6 2 3" xfId="12910" xr:uid="{A27B82C8-937F-4D5D-B9D2-EA076D700402}"/>
    <cellStyle name="Normal 9 2 4 6 3" xfId="6541" xr:uid="{00000000-0005-0000-0000-0000801F0000}"/>
    <cellStyle name="Normal 9 2 4 6 3 2" xfId="14983" xr:uid="{81EB3A9D-AE52-4EDA-8C9C-AEF4259E7CBC}"/>
    <cellStyle name="Normal 9 2 4 6 4" xfId="10765" xr:uid="{B5710FB6-6B8E-4375-AAB1-179CD914B592}"/>
    <cellStyle name="Normal 9 2 4 7" xfId="2670" xr:uid="{00000000-0005-0000-0000-0000811F0000}"/>
    <cellStyle name="Normal 9 2 4 7 2" xfId="6954" xr:uid="{00000000-0005-0000-0000-0000821F0000}"/>
    <cellStyle name="Normal 9 2 4 7 2 2" xfId="15396" xr:uid="{268FE8C6-5294-49F7-B813-D46B46F791BA}"/>
    <cellStyle name="Normal 9 2 4 7 3" xfId="11178" xr:uid="{CBDE53DA-386B-4875-96B2-2D3D8D8AD451}"/>
    <cellStyle name="Normal 9 2 4 8" xfId="4889" xr:uid="{00000000-0005-0000-0000-0000831F0000}"/>
    <cellStyle name="Normal 9 2 4 8 2" xfId="13331" xr:uid="{3C02A49B-4BEE-45FE-B072-472E743CECD7}"/>
    <cellStyle name="Normal 9 2 4 9" xfId="9113" xr:uid="{26D227F4-001C-47E6-AB9F-917D21BC2A95}"/>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AEDCECAE-8E03-43BD-AE4D-EA6BF8073A8E}"/>
    <cellStyle name="Normal 9 2 5 2 2 3" xfId="11673" xr:uid="{E6BA82FC-88D6-4A36-8B4C-D8ADF5622A7C}"/>
    <cellStyle name="Normal 9 2 5 2 3" xfId="5304" xr:uid="{00000000-0005-0000-0000-0000881F0000}"/>
    <cellStyle name="Normal 9 2 5 2 3 2" xfId="13746" xr:uid="{9683F256-ADA6-4680-BC3F-1249BF5AD4C5}"/>
    <cellStyle name="Normal 9 2 5 2 4" xfId="9528" xr:uid="{6578DD0F-9C6B-4A23-83B3-A454647F96C7}"/>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125E2A30-54D0-4BEE-9ADE-4E80D1C22C85}"/>
    <cellStyle name="Normal 9 2 5 3 2 3" xfId="12086" xr:uid="{138355C8-ED3C-4134-A8AF-4FF7743F5CB6}"/>
    <cellStyle name="Normal 9 2 5 3 3" xfId="5717" xr:uid="{00000000-0005-0000-0000-00008C1F0000}"/>
    <cellStyle name="Normal 9 2 5 3 3 2" xfId="14159" xr:uid="{C2ADF824-A819-40B1-80C1-DA8E6D3F5201}"/>
    <cellStyle name="Normal 9 2 5 3 4" xfId="9941" xr:uid="{1637CF45-A8CA-484E-B893-51779FD0B057}"/>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BBEA30C4-BEA8-4429-A0D9-6E2C2ABB67EA}"/>
    <cellStyle name="Normal 9 2 5 4 2 3" xfId="12499" xr:uid="{8B157707-0AE9-4780-9785-EBEE10B10E23}"/>
    <cellStyle name="Normal 9 2 5 4 3" xfId="6130" xr:uid="{00000000-0005-0000-0000-0000901F0000}"/>
    <cellStyle name="Normal 9 2 5 4 3 2" xfId="14572" xr:uid="{2519FD0D-54F1-482E-A692-0E94F27AA6E6}"/>
    <cellStyle name="Normal 9 2 5 4 4" xfId="10354" xr:uid="{86561B9B-9921-4ED9-B160-6A11B749C412}"/>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004D73AB-6416-487F-9E94-D069BA756EED}"/>
    <cellStyle name="Normal 9 2 5 5 2 3" xfId="12912" xr:uid="{0E4C37D4-75AA-4110-86D2-4E36B8232D87}"/>
    <cellStyle name="Normal 9 2 5 5 3" xfId="6543" xr:uid="{00000000-0005-0000-0000-0000941F0000}"/>
    <cellStyle name="Normal 9 2 5 5 3 2" xfId="14985" xr:uid="{7B1F248D-ABF8-4FEE-BFC9-C74381712FDC}"/>
    <cellStyle name="Normal 9 2 5 5 4" xfId="10767" xr:uid="{9E18BE59-B841-4E25-9E93-729370B89E50}"/>
    <cellStyle name="Normal 9 2 5 6" xfId="2672" xr:uid="{00000000-0005-0000-0000-0000951F0000}"/>
    <cellStyle name="Normal 9 2 5 6 2" xfId="6956" xr:uid="{00000000-0005-0000-0000-0000961F0000}"/>
    <cellStyle name="Normal 9 2 5 6 2 2" xfId="15398" xr:uid="{5B2EF53E-2B96-450E-B9F0-A8B4973676C0}"/>
    <cellStyle name="Normal 9 2 5 6 3" xfId="11180" xr:uid="{C05FEED5-CB13-405B-8FFF-483F5CD1385D}"/>
    <cellStyle name="Normal 9 2 5 7" xfId="4891" xr:uid="{00000000-0005-0000-0000-0000971F0000}"/>
    <cellStyle name="Normal 9 2 5 7 2" xfId="13333" xr:uid="{AC70DD94-1411-4BF4-97D5-9C5BA01E49FB}"/>
    <cellStyle name="Normal 9 2 5 8" xfId="9115" xr:uid="{95449AFC-3869-4409-B901-F46845DEA18E}"/>
    <cellStyle name="Normal 9 2 6" xfId="978" xr:uid="{00000000-0005-0000-0000-0000981F0000}"/>
    <cellStyle name="Normal 9 2 6 2" xfId="3211" xr:uid="{00000000-0005-0000-0000-0000991F0000}"/>
    <cellStyle name="Normal 9 2 6 2 2" xfId="7434" xr:uid="{00000000-0005-0000-0000-00009A1F0000}"/>
    <cellStyle name="Normal 9 2 6 2 2 2" xfId="15876" xr:uid="{BBE5DF73-A977-46AC-8F66-1DA6767ECC65}"/>
    <cellStyle name="Normal 9 2 6 2 3" xfId="11658" xr:uid="{CED4ACB5-5741-483E-B8C8-C964F9AF0CB3}"/>
    <cellStyle name="Normal 9 2 6 3" xfId="5289" xr:uid="{00000000-0005-0000-0000-00009B1F0000}"/>
    <cellStyle name="Normal 9 2 6 3 2" xfId="13731" xr:uid="{2590F1CA-24F8-4ED8-81B6-05C42BDDDE23}"/>
    <cellStyle name="Normal 9 2 6 4" xfId="9513" xr:uid="{C5517372-78B2-47FA-9ED1-691272852335}"/>
    <cellStyle name="Normal 9 2 7" xfId="1394" xr:uid="{00000000-0005-0000-0000-00009C1F0000}"/>
    <cellStyle name="Normal 9 2 7 2" xfId="3624" xr:uid="{00000000-0005-0000-0000-00009D1F0000}"/>
    <cellStyle name="Normal 9 2 7 2 2" xfId="7847" xr:uid="{00000000-0005-0000-0000-00009E1F0000}"/>
    <cellStyle name="Normal 9 2 7 2 2 2" xfId="16289" xr:uid="{AD14AE58-1115-4E7B-B203-4F73CC27FE6C}"/>
    <cellStyle name="Normal 9 2 7 2 3" xfId="12071" xr:uid="{5B838D41-CB78-4E5E-9F78-B39074BD2152}"/>
    <cellStyle name="Normal 9 2 7 3" xfId="5702" xr:uid="{00000000-0005-0000-0000-00009F1F0000}"/>
    <cellStyle name="Normal 9 2 7 3 2" xfId="14144" xr:uid="{BA0AC3D9-0288-4A4E-9187-4CD31C54D823}"/>
    <cellStyle name="Normal 9 2 7 4" xfId="9926" xr:uid="{D3B30B53-B793-4736-A8A7-5325F1E18789}"/>
    <cellStyle name="Normal 9 2 8" xfId="1807" xr:uid="{00000000-0005-0000-0000-0000A01F0000}"/>
    <cellStyle name="Normal 9 2 8 2" xfId="4037" xr:uid="{00000000-0005-0000-0000-0000A11F0000}"/>
    <cellStyle name="Normal 9 2 8 2 2" xfId="8260" xr:uid="{00000000-0005-0000-0000-0000A21F0000}"/>
    <cellStyle name="Normal 9 2 8 2 2 2" xfId="16702" xr:uid="{53D840BB-57EB-45C9-98C1-EBB80406BC5D}"/>
    <cellStyle name="Normal 9 2 8 2 3" xfId="12484" xr:uid="{01D26F83-7F6C-4C5C-A42E-610A07641432}"/>
    <cellStyle name="Normal 9 2 8 3" xfId="6115" xr:uid="{00000000-0005-0000-0000-0000A31F0000}"/>
    <cellStyle name="Normal 9 2 8 3 2" xfId="14557" xr:uid="{41295B4A-CD63-43F0-B929-3B08CE619A47}"/>
    <cellStyle name="Normal 9 2 8 4" xfId="10339" xr:uid="{FC56E028-77F4-4ECD-91DA-0922DAC1B129}"/>
    <cellStyle name="Normal 9 2 9" xfId="2221" xr:uid="{00000000-0005-0000-0000-0000A41F0000}"/>
    <cellStyle name="Normal 9 2 9 2" xfId="4450" xr:uid="{00000000-0005-0000-0000-0000A51F0000}"/>
    <cellStyle name="Normal 9 2 9 2 2" xfId="8673" xr:uid="{00000000-0005-0000-0000-0000A61F0000}"/>
    <cellStyle name="Normal 9 2 9 2 2 2" xfId="17115" xr:uid="{45A14A2D-93CE-4C46-9967-F41724E6FF77}"/>
    <cellStyle name="Normal 9 2 9 2 3" xfId="12897" xr:uid="{20F372EF-7A0B-4523-8BF1-E326CC704E15}"/>
    <cellStyle name="Normal 9 2 9 3" xfId="6528" xr:uid="{00000000-0005-0000-0000-0000A71F0000}"/>
    <cellStyle name="Normal 9 2 9 3 2" xfId="14970" xr:uid="{C7041850-F7E7-4B67-83BF-54004F0FEF08}"/>
    <cellStyle name="Normal 9 2 9 4" xfId="10752" xr:uid="{24D12CBA-07DB-4A02-94DD-D43115189C9B}"/>
    <cellStyle name="Normal 9 3" xfId="527" xr:uid="{00000000-0005-0000-0000-0000A81F0000}"/>
    <cellStyle name="Normal 9 3 10" xfId="4892" xr:uid="{00000000-0005-0000-0000-0000A91F0000}"/>
    <cellStyle name="Normal 9 3 10 2" xfId="13334" xr:uid="{E320C09C-EA71-4AE4-88D4-2FF7E9C2D07A}"/>
    <cellStyle name="Normal 9 3 11" xfId="9116" xr:uid="{4C7AEE9F-DC52-45FE-8843-327EB19FC99C}"/>
    <cellStyle name="Normal 9 3 2" xfId="528" xr:uid="{00000000-0005-0000-0000-0000AA1F0000}"/>
    <cellStyle name="Normal 9 3 2 10" xfId="9117" xr:uid="{E743F6EF-9860-4AC0-85B8-BFFED94EBFE4}"/>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ED5F7F02-FD64-43EF-B994-10B6E11EEBAB}"/>
    <cellStyle name="Normal 9 3 2 2 2 2 2 3" xfId="11677" xr:uid="{C320445C-0374-4387-9690-037902C2BC92}"/>
    <cellStyle name="Normal 9 3 2 2 2 2 3" xfId="5308" xr:uid="{00000000-0005-0000-0000-0000B01F0000}"/>
    <cellStyle name="Normal 9 3 2 2 2 2 3 2" xfId="13750" xr:uid="{D724A856-435B-400B-967D-41C2D09BC0AA}"/>
    <cellStyle name="Normal 9 3 2 2 2 2 4" xfId="9532" xr:uid="{D736E69A-092F-48F7-854E-C7E1AFABC4F3}"/>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34660BC6-EC40-4A44-BD1B-0EA3564167F2}"/>
    <cellStyle name="Normal 9 3 2 2 2 3 2 3" xfId="12090" xr:uid="{979C79C8-BAA0-4A17-966D-9F28F18203CC}"/>
    <cellStyle name="Normal 9 3 2 2 2 3 3" xfId="5721" xr:uid="{00000000-0005-0000-0000-0000B41F0000}"/>
    <cellStyle name="Normal 9 3 2 2 2 3 3 2" xfId="14163" xr:uid="{6EB5F3D2-53D6-47B1-9FFC-34D69EDE388D}"/>
    <cellStyle name="Normal 9 3 2 2 2 3 4" xfId="9945" xr:uid="{EC7F86B8-72C6-4E21-942E-2D10E9AC5CF3}"/>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622F5965-912A-4CED-B2EF-4AF77E2C2253}"/>
    <cellStyle name="Normal 9 3 2 2 2 4 2 3" xfId="12503" xr:uid="{B71FB5C8-E37B-4665-BEAF-F14B5716FDD9}"/>
    <cellStyle name="Normal 9 3 2 2 2 4 3" xfId="6134" xr:uid="{00000000-0005-0000-0000-0000B81F0000}"/>
    <cellStyle name="Normal 9 3 2 2 2 4 3 2" xfId="14576" xr:uid="{D99F233A-037A-4E0D-9181-5A7A51070184}"/>
    <cellStyle name="Normal 9 3 2 2 2 4 4" xfId="10358" xr:uid="{DE6CC8BD-1C5B-4749-975D-1DE77F9F92DA}"/>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875C42F6-4CF4-4823-B336-B6696053D56A}"/>
    <cellStyle name="Normal 9 3 2 2 2 5 2 3" xfId="12916" xr:uid="{4D62DF24-5C2B-4061-9EE2-F7885F9930CD}"/>
    <cellStyle name="Normal 9 3 2 2 2 5 3" xfId="6547" xr:uid="{00000000-0005-0000-0000-0000BC1F0000}"/>
    <cellStyle name="Normal 9 3 2 2 2 5 3 2" xfId="14989" xr:uid="{F4F7C8F7-26E0-4201-AB8F-61B0A8A774A9}"/>
    <cellStyle name="Normal 9 3 2 2 2 5 4" xfId="10771" xr:uid="{703F1DA7-5710-44AA-9C69-0D947FC12CED}"/>
    <cellStyle name="Normal 9 3 2 2 2 6" xfId="2676" xr:uid="{00000000-0005-0000-0000-0000BD1F0000}"/>
    <cellStyle name="Normal 9 3 2 2 2 6 2" xfId="6960" xr:uid="{00000000-0005-0000-0000-0000BE1F0000}"/>
    <cellStyle name="Normal 9 3 2 2 2 6 2 2" xfId="15402" xr:uid="{8B7D9520-E5A5-41F7-97DE-DB22F88499D0}"/>
    <cellStyle name="Normal 9 3 2 2 2 6 3" xfId="11184" xr:uid="{1055B15B-8338-455D-B182-BA17EF4EA814}"/>
    <cellStyle name="Normal 9 3 2 2 2 7" xfId="4895" xr:uid="{00000000-0005-0000-0000-0000BF1F0000}"/>
    <cellStyle name="Normal 9 3 2 2 2 7 2" xfId="13337" xr:uid="{CA835B5F-51B8-4607-97E3-585C9411B466}"/>
    <cellStyle name="Normal 9 3 2 2 2 8" xfId="9119" xr:uid="{68FBCA20-0021-4AD9-B8DE-CCB08DB6113A}"/>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BD166153-C17F-40A6-A360-464E52206602}"/>
    <cellStyle name="Normal 9 3 2 2 3 2 3" xfId="11676" xr:uid="{61009398-8ACC-4528-9603-A995B8DEE1AC}"/>
    <cellStyle name="Normal 9 3 2 2 3 3" xfId="5307" xr:uid="{00000000-0005-0000-0000-0000C31F0000}"/>
    <cellStyle name="Normal 9 3 2 2 3 3 2" xfId="13749" xr:uid="{6DB46896-2515-4487-8F93-A453B93C6215}"/>
    <cellStyle name="Normal 9 3 2 2 3 4" xfId="9531" xr:uid="{1CB7598C-1690-47AE-8117-E6F48607E8E0}"/>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986C7BB1-2952-46E7-8BE5-965F21C40D13}"/>
    <cellStyle name="Normal 9 3 2 2 4 2 3" xfId="12089" xr:uid="{9E1F5C31-3055-4739-B6FE-C364A67C361A}"/>
    <cellStyle name="Normal 9 3 2 2 4 3" xfId="5720" xr:uid="{00000000-0005-0000-0000-0000C71F0000}"/>
    <cellStyle name="Normal 9 3 2 2 4 3 2" xfId="14162" xr:uid="{90E4C9A1-F084-4DF4-923A-0B0A0BA7D0E0}"/>
    <cellStyle name="Normal 9 3 2 2 4 4" xfId="9944" xr:uid="{F602854F-EB1A-4CF5-A667-BE787816F3CC}"/>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2D94FC63-D6B0-4C9B-8B73-6BC143A8048B}"/>
    <cellStyle name="Normal 9 3 2 2 5 2 3" xfId="12502" xr:uid="{60D5A529-6565-4C28-9595-EF457053EBB4}"/>
    <cellStyle name="Normal 9 3 2 2 5 3" xfId="6133" xr:uid="{00000000-0005-0000-0000-0000CB1F0000}"/>
    <cellStyle name="Normal 9 3 2 2 5 3 2" xfId="14575" xr:uid="{6E80D421-0880-48E4-940F-276D7FA67FA1}"/>
    <cellStyle name="Normal 9 3 2 2 5 4" xfId="10357" xr:uid="{A5979BE0-D11C-4FB5-AAAF-564716672349}"/>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3DCD92AC-F783-414D-811E-BA8E4992DF2A}"/>
    <cellStyle name="Normal 9 3 2 2 6 2 3" xfId="12915" xr:uid="{8A9D9DC2-183B-41E0-A348-29704FBA2624}"/>
    <cellStyle name="Normal 9 3 2 2 6 3" xfId="6546" xr:uid="{00000000-0005-0000-0000-0000CF1F0000}"/>
    <cellStyle name="Normal 9 3 2 2 6 3 2" xfId="14988" xr:uid="{40291067-6F4A-4D1A-BE83-27B474F6CC02}"/>
    <cellStyle name="Normal 9 3 2 2 6 4" xfId="10770" xr:uid="{6C067652-D74A-4C04-AC10-A3AC4F802D13}"/>
    <cellStyle name="Normal 9 3 2 2 7" xfId="2675" xr:uid="{00000000-0005-0000-0000-0000D01F0000}"/>
    <cellStyle name="Normal 9 3 2 2 7 2" xfId="6959" xr:uid="{00000000-0005-0000-0000-0000D11F0000}"/>
    <cellStyle name="Normal 9 3 2 2 7 2 2" xfId="15401" xr:uid="{008D91F3-A97F-42C6-B616-37B2EF760834}"/>
    <cellStyle name="Normal 9 3 2 2 7 3" xfId="11183" xr:uid="{2546A47A-8878-426B-8C27-9EACDF1B3F03}"/>
    <cellStyle name="Normal 9 3 2 2 8" xfId="4894" xr:uid="{00000000-0005-0000-0000-0000D21F0000}"/>
    <cellStyle name="Normal 9 3 2 2 8 2" xfId="13336" xr:uid="{96B7FEF2-4FE7-4C0C-8F13-F8014FB00CDE}"/>
    <cellStyle name="Normal 9 3 2 2 9" xfId="9118" xr:uid="{7F0D6AD6-CCF8-4E6F-9521-DD80AF870B7B}"/>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36CC00B2-1343-4C22-A5E2-8CD29ACFCCC8}"/>
    <cellStyle name="Normal 9 3 2 3 2 2 3" xfId="11678" xr:uid="{6BCB63E3-A182-4F9C-9711-5DEE9D7288C6}"/>
    <cellStyle name="Normal 9 3 2 3 2 3" xfId="5309" xr:uid="{00000000-0005-0000-0000-0000D71F0000}"/>
    <cellStyle name="Normal 9 3 2 3 2 3 2" xfId="13751" xr:uid="{3A681FD0-DD4E-4509-A9B6-52501C607149}"/>
    <cellStyle name="Normal 9 3 2 3 2 4" xfId="9533" xr:uid="{F16E0D11-F0DF-4D3D-846C-23C1BE6E40B4}"/>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7570114E-D462-47FD-BDD7-E3230CE18F1F}"/>
    <cellStyle name="Normal 9 3 2 3 3 2 3" xfId="12091" xr:uid="{1F98FACA-4422-4B37-89FE-430C3828F8A3}"/>
    <cellStyle name="Normal 9 3 2 3 3 3" xfId="5722" xr:uid="{00000000-0005-0000-0000-0000DB1F0000}"/>
    <cellStyle name="Normal 9 3 2 3 3 3 2" xfId="14164" xr:uid="{D7723C27-9D23-42CA-8CCA-8B10D79AA1A8}"/>
    <cellStyle name="Normal 9 3 2 3 3 4" xfId="9946" xr:uid="{49AAA21F-86A2-4A2C-B909-C2A18CDB9205}"/>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A481ED90-F80E-40CD-80C8-219D1B42B4E0}"/>
    <cellStyle name="Normal 9 3 2 3 4 2 3" xfId="12504" xr:uid="{329E29B7-0169-4215-8DD1-206BC68CA45D}"/>
    <cellStyle name="Normal 9 3 2 3 4 3" xfId="6135" xr:uid="{00000000-0005-0000-0000-0000DF1F0000}"/>
    <cellStyle name="Normal 9 3 2 3 4 3 2" xfId="14577" xr:uid="{6BB32116-653F-4E91-A3FC-5E76CED440B1}"/>
    <cellStyle name="Normal 9 3 2 3 4 4" xfId="10359" xr:uid="{DC48AACE-B4E6-4BB1-820B-2B9BCB407B96}"/>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642A27F0-D106-4485-ACE0-C1725BD9C9DF}"/>
    <cellStyle name="Normal 9 3 2 3 5 2 3" xfId="12917" xr:uid="{4E17F321-7132-46AB-8AE7-D61E35F4A92C}"/>
    <cellStyle name="Normal 9 3 2 3 5 3" xfId="6548" xr:uid="{00000000-0005-0000-0000-0000E31F0000}"/>
    <cellStyle name="Normal 9 3 2 3 5 3 2" xfId="14990" xr:uid="{6680F405-126B-4491-B5C5-F5BC2DF89BED}"/>
    <cellStyle name="Normal 9 3 2 3 5 4" xfId="10772" xr:uid="{6BE63445-F2C6-4586-B0AE-29E523EDED71}"/>
    <cellStyle name="Normal 9 3 2 3 6" xfId="2677" xr:uid="{00000000-0005-0000-0000-0000E41F0000}"/>
    <cellStyle name="Normal 9 3 2 3 6 2" xfId="6961" xr:uid="{00000000-0005-0000-0000-0000E51F0000}"/>
    <cellStyle name="Normal 9 3 2 3 6 2 2" xfId="15403" xr:uid="{55F823B2-40D6-4CA2-B4EA-5E27272ECC26}"/>
    <cellStyle name="Normal 9 3 2 3 6 3" xfId="11185" xr:uid="{3130E975-9D68-4803-A472-EF9590D79636}"/>
    <cellStyle name="Normal 9 3 2 3 7" xfId="4896" xr:uid="{00000000-0005-0000-0000-0000E61F0000}"/>
    <cellStyle name="Normal 9 3 2 3 7 2" xfId="13338" xr:uid="{4F79EED9-A382-40CE-A2BF-3AA72A7A972D}"/>
    <cellStyle name="Normal 9 3 2 3 8" xfId="9120" xr:uid="{B786152C-C0D5-41BC-9DAF-5CCFF06A4FCF}"/>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010C75C9-CDF4-4870-98FA-EBAF8935AC42}"/>
    <cellStyle name="Normal 9 3 2 4 2 3" xfId="11675" xr:uid="{39860937-B145-4C4E-9BE6-4F0384A3F8B1}"/>
    <cellStyle name="Normal 9 3 2 4 3" xfId="5306" xr:uid="{00000000-0005-0000-0000-0000EA1F0000}"/>
    <cellStyle name="Normal 9 3 2 4 3 2" xfId="13748" xr:uid="{F4BA870F-B9BE-4CA9-B9BB-DFA879AB6A70}"/>
    <cellStyle name="Normal 9 3 2 4 4" xfId="9530" xr:uid="{4673AB1E-AA36-44C7-9A0B-61E6D8819C08}"/>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BE626247-ADCF-48C4-B99D-D7A17A33B41D}"/>
    <cellStyle name="Normal 9 3 2 5 2 3" xfId="12088" xr:uid="{BC153D26-73E5-4C23-8FE1-79D940CFCB34}"/>
    <cellStyle name="Normal 9 3 2 5 3" xfId="5719" xr:uid="{00000000-0005-0000-0000-0000EE1F0000}"/>
    <cellStyle name="Normal 9 3 2 5 3 2" xfId="14161" xr:uid="{6BAE5F09-ECF5-4DE1-ADF5-2E48D5A7E740}"/>
    <cellStyle name="Normal 9 3 2 5 4" xfId="9943" xr:uid="{E845B9C2-48C9-474F-B947-409F53B5B1CE}"/>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16A4D1A1-642E-42F9-A9DD-BEAF6973B3C9}"/>
    <cellStyle name="Normal 9 3 2 6 2 3" xfId="12501" xr:uid="{3618A9AF-A3B1-46BC-8C2A-B9BE9110BA64}"/>
    <cellStyle name="Normal 9 3 2 6 3" xfId="6132" xr:uid="{00000000-0005-0000-0000-0000F21F0000}"/>
    <cellStyle name="Normal 9 3 2 6 3 2" xfId="14574" xr:uid="{AABD9067-FEEA-46AE-8AB3-D1C28D095D22}"/>
    <cellStyle name="Normal 9 3 2 6 4" xfId="10356" xr:uid="{2FCA3BEF-867B-427C-A53C-19E2741F369A}"/>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587D8FDE-26F8-4F37-93DD-24494E596069}"/>
    <cellStyle name="Normal 9 3 2 7 2 3" xfId="12914" xr:uid="{F3CCE1CC-10DB-4911-973D-3A2625106686}"/>
    <cellStyle name="Normal 9 3 2 7 3" xfId="6545" xr:uid="{00000000-0005-0000-0000-0000F61F0000}"/>
    <cellStyle name="Normal 9 3 2 7 3 2" xfId="14987" xr:uid="{D7B48ABC-7727-4C56-A8E4-0CF2B60DC98D}"/>
    <cellStyle name="Normal 9 3 2 7 4" xfId="10769" xr:uid="{C4B4A680-C932-427A-AF12-18D1FC9C6DBE}"/>
    <cellStyle name="Normal 9 3 2 8" xfId="2674" xr:uid="{00000000-0005-0000-0000-0000F71F0000}"/>
    <cellStyle name="Normal 9 3 2 8 2" xfId="6958" xr:uid="{00000000-0005-0000-0000-0000F81F0000}"/>
    <cellStyle name="Normal 9 3 2 8 2 2" xfId="15400" xr:uid="{6B1AFF9A-ED51-4093-9112-F66CF1E78C79}"/>
    <cellStyle name="Normal 9 3 2 8 3" xfId="11182" xr:uid="{B839C85F-CE23-45F5-AB19-9623A9FB5195}"/>
    <cellStyle name="Normal 9 3 2 9" xfId="4893" xr:uid="{00000000-0005-0000-0000-0000F91F0000}"/>
    <cellStyle name="Normal 9 3 2 9 2" xfId="13335" xr:uid="{6A1D1F90-4E44-4D2E-B5CA-F9272F93B814}"/>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8238D63A-5B6B-4AB0-BFE3-09F97BA8E6F5}"/>
    <cellStyle name="Normal 9 3 3 2 2 2 3" xfId="11680" xr:uid="{D3E67B5F-01DA-4A43-81A9-3084F8F863CD}"/>
    <cellStyle name="Normal 9 3 3 2 2 3" xfId="5311" xr:uid="{00000000-0005-0000-0000-0000FF1F0000}"/>
    <cellStyle name="Normal 9 3 3 2 2 3 2" xfId="13753" xr:uid="{245BBB68-4F0A-45B8-B38A-9B8562CB2488}"/>
    <cellStyle name="Normal 9 3 3 2 2 4" xfId="9535" xr:uid="{497523D1-CC31-44C0-8E37-70E1D4A0AD5C}"/>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F1575075-39F4-4C3F-BBAB-C14EDF7C2FC9}"/>
    <cellStyle name="Normal 9 3 3 2 3 2 3" xfId="12093" xr:uid="{BA440616-F378-428E-886D-A3A475670781}"/>
    <cellStyle name="Normal 9 3 3 2 3 3" xfId="5724" xr:uid="{00000000-0005-0000-0000-000003200000}"/>
    <cellStyle name="Normal 9 3 3 2 3 3 2" xfId="14166" xr:uid="{77B2B2DB-57DD-4648-83FF-B09BE3FE4600}"/>
    <cellStyle name="Normal 9 3 3 2 3 4" xfId="9948" xr:uid="{A91B6B63-4B64-4958-A8C9-DFEB4C99F591}"/>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0760EC42-ABCB-4984-978C-7A02070A6B2D}"/>
    <cellStyle name="Normal 9 3 3 2 4 2 3" xfId="12506" xr:uid="{EFF192F1-1185-4A2B-BC9A-A3416FAF6AE5}"/>
    <cellStyle name="Normal 9 3 3 2 4 3" xfId="6137" xr:uid="{00000000-0005-0000-0000-000007200000}"/>
    <cellStyle name="Normal 9 3 3 2 4 3 2" xfId="14579" xr:uid="{5F7884C5-D275-4B17-AAB0-69E628522FF2}"/>
    <cellStyle name="Normal 9 3 3 2 4 4" xfId="10361" xr:uid="{55983B28-BFF4-4BC8-97E6-CB8713A9E56F}"/>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5584F369-81B8-4847-95D4-3EFD789E60FA}"/>
    <cellStyle name="Normal 9 3 3 2 5 2 3" xfId="12919" xr:uid="{6544AA6C-C310-47ED-9CA8-485E6945FC8E}"/>
    <cellStyle name="Normal 9 3 3 2 5 3" xfId="6550" xr:uid="{00000000-0005-0000-0000-00000B200000}"/>
    <cellStyle name="Normal 9 3 3 2 5 3 2" xfId="14992" xr:uid="{B1366B1C-7A99-4F93-A20A-E1C6EBA24C50}"/>
    <cellStyle name="Normal 9 3 3 2 5 4" xfId="10774" xr:uid="{46A7BCF2-CC16-4792-95B0-F246127359AC}"/>
    <cellStyle name="Normal 9 3 3 2 6" xfId="2679" xr:uid="{00000000-0005-0000-0000-00000C200000}"/>
    <cellStyle name="Normal 9 3 3 2 6 2" xfId="6963" xr:uid="{00000000-0005-0000-0000-00000D200000}"/>
    <cellStyle name="Normal 9 3 3 2 6 2 2" xfId="15405" xr:uid="{35C41CF9-BD06-496F-BD49-A4E4EFC7549B}"/>
    <cellStyle name="Normal 9 3 3 2 6 3" xfId="11187" xr:uid="{04DA2109-4890-4BF4-ABF0-ADCB136D8424}"/>
    <cellStyle name="Normal 9 3 3 2 7" xfId="4898" xr:uid="{00000000-0005-0000-0000-00000E200000}"/>
    <cellStyle name="Normal 9 3 3 2 7 2" xfId="13340" xr:uid="{92AD55A0-C86F-48BA-A5D2-DF39BAE034DF}"/>
    <cellStyle name="Normal 9 3 3 2 8" xfId="9122" xr:uid="{84772B9D-DB57-449C-A46C-FE0E27BD44D8}"/>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B2A3CD3C-BB3F-48F6-8EDD-B89393D28FDE}"/>
    <cellStyle name="Normal 9 3 3 3 2 3" xfId="11679" xr:uid="{30A332F7-2D8D-4EC2-A184-852FC0325021}"/>
    <cellStyle name="Normal 9 3 3 3 3" xfId="5310" xr:uid="{00000000-0005-0000-0000-000012200000}"/>
    <cellStyle name="Normal 9 3 3 3 3 2" xfId="13752" xr:uid="{36A89F2E-9609-4D11-BD6F-20D9488F99C4}"/>
    <cellStyle name="Normal 9 3 3 3 4" xfId="9534" xr:uid="{B2335182-0154-4E6E-83E2-554407E57BEF}"/>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EDA28C73-AA4A-44FB-806F-7CEECFB60A44}"/>
    <cellStyle name="Normal 9 3 3 4 2 3" xfId="12092" xr:uid="{9C05C16B-3C28-4040-8694-39059F4ED485}"/>
    <cellStyle name="Normal 9 3 3 4 3" xfId="5723" xr:uid="{00000000-0005-0000-0000-000016200000}"/>
    <cellStyle name="Normal 9 3 3 4 3 2" xfId="14165" xr:uid="{040358E1-C761-4305-86E8-C06C275F3DE4}"/>
    <cellStyle name="Normal 9 3 3 4 4" xfId="9947" xr:uid="{4037CAC7-68EC-4F1A-8A8B-4C2CFA28D037}"/>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CA22C4B5-B466-44F0-AAAD-E4AB0F897B23}"/>
    <cellStyle name="Normal 9 3 3 5 2 3" xfId="12505" xr:uid="{E92A4026-4CC6-448F-A9A8-BBEDD46ABDB4}"/>
    <cellStyle name="Normal 9 3 3 5 3" xfId="6136" xr:uid="{00000000-0005-0000-0000-00001A200000}"/>
    <cellStyle name="Normal 9 3 3 5 3 2" xfId="14578" xr:uid="{DA867FEB-6C29-410B-A1A4-CDD8436D7289}"/>
    <cellStyle name="Normal 9 3 3 5 4" xfId="10360" xr:uid="{53EA96F5-312F-4935-B80B-AB0632372C68}"/>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1C9CE554-4CAA-4FAF-99E2-536EBA2D6816}"/>
    <cellStyle name="Normal 9 3 3 6 2 3" xfId="12918" xr:uid="{D117D90F-BB94-449D-BB50-66FCC7FC253C}"/>
    <cellStyle name="Normal 9 3 3 6 3" xfId="6549" xr:uid="{00000000-0005-0000-0000-00001E200000}"/>
    <cellStyle name="Normal 9 3 3 6 3 2" xfId="14991" xr:uid="{43E12B90-9198-4DFF-BAF2-7E0F69731274}"/>
    <cellStyle name="Normal 9 3 3 6 4" xfId="10773" xr:uid="{4F466005-C77F-4285-BD2E-ED634DEDC0EE}"/>
    <cellStyle name="Normal 9 3 3 7" xfId="2678" xr:uid="{00000000-0005-0000-0000-00001F200000}"/>
    <cellStyle name="Normal 9 3 3 7 2" xfId="6962" xr:uid="{00000000-0005-0000-0000-000020200000}"/>
    <cellStyle name="Normal 9 3 3 7 2 2" xfId="15404" xr:uid="{52334E4E-E15C-440C-ACE6-6E41A8F77FA1}"/>
    <cellStyle name="Normal 9 3 3 7 3" xfId="11186" xr:uid="{EBC80DD5-D0EC-470B-B751-949906C64C40}"/>
    <cellStyle name="Normal 9 3 3 8" xfId="4897" xr:uid="{00000000-0005-0000-0000-000021200000}"/>
    <cellStyle name="Normal 9 3 3 8 2" xfId="13339" xr:uid="{B029D1EA-75E9-4EE4-BEBD-4FC8CE27618F}"/>
    <cellStyle name="Normal 9 3 3 9" xfId="9121" xr:uid="{3F82B3AE-E211-4458-8BE9-DF16215F373A}"/>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B70EDF43-1E4D-4B23-B232-1848AECBF736}"/>
    <cellStyle name="Normal 9 3 4 2 2 3" xfId="11681" xr:uid="{BA64E0B7-A39A-4793-A7AD-6247F1F74170}"/>
    <cellStyle name="Normal 9 3 4 2 3" xfId="5312" xr:uid="{00000000-0005-0000-0000-000026200000}"/>
    <cellStyle name="Normal 9 3 4 2 3 2" xfId="13754" xr:uid="{5FD3AF42-72CE-4F59-AD36-2E64FF4740DC}"/>
    <cellStyle name="Normal 9 3 4 2 4" xfId="9536" xr:uid="{34614B27-30F2-4631-A2B6-4D69787AB318}"/>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395D381D-9EEB-40AB-8E19-A736BDD089C0}"/>
    <cellStyle name="Normal 9 3 4 3 2 3" xfId="12094" xr:uid="{FFDC2C1B-06F0-4C92-8BDD-D4B795C3F85E}"/>
    <cellStyle name="Normal 9 3 4 3 3" xfId="5725" xr:uid="{00000000-0005-0000-0000-00002A200000}"/>
    <cellStyle name="Normal 9 3 4 3 3 2" xfId="14167" xr:uid="{FF2D6068-0738-43BC-9B1D-450A08FC8290}"/>
    <cellStyle name="Normal 9 3 4 3 4" xfId="9949" xr:uid="{66CBEEA5-B589-44BB-A732-D616B3403F26}"/>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0A5C9743-9337-409F-97E3-CC8C5EC1AD5B}"/>
    <cellStyle name="Normal 9 3 4 4 2 3" xfId="12507" xr:uid="{1786FF10-ACB5-4A7B-9442-71F7BD4F4681}"/>
    <cellStyle name="Normal 9 3 4 4 3" xfId="6138" xr:uid="{00000000-0005-0000-0000-00002E200000}"/>
    <cellStyle name="Normal 9 3 4 4 3 2" xfId="14580" xr:uid="{10C514D5-90BF-4226-8AD8-01234D7E3A67}"/>
    <cellStyle name="Normal 9 3 4 4 4" xfId="10362" xr:uid="{3870ECF0-55F9-481D-81A1-193B1277ACB4}"/>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48C7381E-D94B-49A2-BEBB-D1AB086FFAD5}"/>
    <cellStyle name="Normal 9 3 4 5 2 3" xfId="12920" xr:uid="{9C5391B3-5597-42E2-A0F7-AFED39438BC8}"/>
    <cellStyle name="Normal 9 3 4 5 3" xfId="6551" xr:uid="{00000000-0005-0000-0000-000032200000}"/>
    <cellStyle name="Normal 9 3 4 5 3 2" xfId="14993" xr:uid="{1E3597EA-4FCF-41ED-BDB3-4324040A23AC}"/>
    <cellStyle name="Normal 9 3 4 5 4" xfId="10775" xr:uid="{290B33CB-6554-4DE1-B0BA-BA80B1077944}"/>
    <cellStyle name="Normal 9 3 4 6" xfId="2680" xr:uid="{00000000-0005-0000-0000-000033200000}"/>
    <cellStyle name="Normal 9 3 4 6 2" xfId="6964" xr:uid="{00000000-0005-0000-0000-000034200000}"/>
    <cellStyle name="Normal 9 3 4 6 2 2" xfId="15406" xr:uid="{CE8E9EC4-0E64-41D5-9E5E-A384B531C366}"/>
    <cellStyle name="Normal 9 3 4 6 3" xfId="11188" xr:uid="{A1ACC8BD-CFE9-4448-84C1-A512C10C38C4}"/>
    <cellStyle name="Normal 9 3 4 7" xfId="4899" xr:uid="{00000000-0005-0000-0000-000035200000}"/>
    <cellStyle name="Normal 9 3 4 7 2" xfId="13341" xr:uid="{5818F1F8-B905-41F4-8703-3BDFFFF61911}"/>
    <cellStyle name="Normal 9 3 4 8" xfId="9123" xr:uid="{2A521CD8-854A-49AA-9155-56A78BF40DE0}"/>
    <cellStyle name="Normal 9 3 5" xfId="994" xr:uid="{00000000-0005-0000-0000-000036200000}"/>
    <cellStyle name="Normal 9 3 5 2" xfId="3227" xr:uid="{00000000-0005-0000-0000-000037200000}"/>
    <cellStyle name="Normal 9 3 5 2 2" xfId="7450" xr:uid="{00000000-0005-0000-0000-000038200000}"/>
    <cellStyle name="Normal 9 3 5 2 2 2" xfId="15892" xr:uid="{8DA64136-BC61-4A29-98E6-988319002AF4}"/>
    <cellStyle name="Normal 9 3 5 2 3" xfId="11674" xr:uid="{9C99BA8E-4889-4A89-8A02-8A94E879AF16}"/>
    <cellStyle name="Normal 9 3 5 3" xfId="5305" xr:uid="{00000000-0005-0000-0000-000039200000}"/>
    <cellStyle name="Normal 9 3 5 3 2" xfId="13747" xr:uid="{E4D3C707-9A7E-4734-A8FD-258EC402B5CB}"/>
    <cellStyle name="Normal 9 3 5 4" xfId="9529" xr:uid="{08CD26BB-AA24-491B-8A66-783A2D3FFB7D}"/>
    <cellStyle name="Normal 9 3 6" xfId="1410" xr:uid="{00000000-0005-0000-0000-00003A200000}"/>
    <cellStyle name="Normal 9 3 6 2" xfId="3640" xr:uid="{00000000-0005-0000-0000-00003B200000}"/>
    <cellStyle name="Normal 9 3 6 2 2" xfId="7863" xr:uid="{00000000-0005-0000-0000-00003C200000}"/>
    <cellStyle name="Normal 9 3 6 2 2 2" xfId="16305" xr:uid="{3B5DB5FC-11E7-48E0-99FE-1A0A7E4C1CE8}"/>
    <cellStyle name="Normal 9 3 6 2 3" xfId="12087" xr:uid="{FA92CA7E-B0CB-48BB-944E-062B318C7726}"/>
    <cellStyle name="Normal 9 3 6 3" xfId="5718" xr:uid="{00000000-0005-0000-0000-00003D200000}"/>
    <cellStyle name="Normal 9 3 6 3 2" xfId="14160" xr:uid="{B59B8816-479E-44DD-AA3D-EB0A3B7DDE06}"/>
    <cellStyle name="Normal 9 3 6 4" xfId="9942" xr:uid="{0A8C80BA-8F0C-4CA3-A342-D034D4D1EA18}"/>
    <cellStyle name="Normal 9 3 7" xfId="1823" xr:uid="{00000000-0005-0000-0000-00003E200000}"/>
    <cellStyle name="Normal 9 3 7 2" xfId="4053" xr:uid="{00000000-0005-0000-0000-00003F200000}"/>
    <cellStyle name="Normal 9 3 7 2 2" xfId="8276" xr:uid="{00000000-0005-0000-0000-000040200000}"/>
    <cellStyle name="Normal 9 3 7 2 2 2" xfId="16718" xr:uid="{AB9D6BF3-7F15-441A-BC79-CCBCE4153859}"/>
    <cellStyle name="Normal 9 3 7 2 3" xfId="12500" xr:uid="{CB56D396-9319-4115-BDEF-DDF3EBC6097A}"/>
    <cellStyle name="Normal 9 3 7 3" xfId="6131" xr:uid="{00000000-0005-0000-0000-000041200000}"/>
    <cellStyle name="Normal 9 3 7 3 2" xfId="14573" xr:uid="{7FA434DA-9E16-4FDA-AC2C-E14D23443314}"/>
    <cellStyle name="Normal 9 3 7 4" xfId="10355" xr:uid="{46BA5D36-6C13-4183-9FA1-7E80C66805F5}"/>
    <cellStyle name="Normal 9 3 8" xfId="2237" xr:uid="{00000000-0005-0000-0000-000042200000}"/>
    <cellStyle name="Normal 9 3 8 2" xfId="4466" xr:uid="{00000000-0005-0000-0000-000043200000}"/>
    <cellStyle name="Normal 9 3 8 2 2" xfId="8689" xr:uid="{00000000-0005-0000-0000-000044200000}"/>
    <cellStyle name="Normal 9 3 8 2 2 2" xfId="17131" xr:uid="{52B444BA-9659-4098-AD6C-AB39FB91C5F0}"/>
    <cellStyle name="Normal 9 3 8 2 3" xfId="12913" xr:uid="{86706F9B-4518-462A-8BBE-9CC3E2D776B8}"/>
    <cellStyle name="Normal 9 3 8 3" xfId="6544" xr:uid="{00000000-0005-0000-0000-000045200000}"/>
    <cellStyle name="Normal 9 3 8 3 2" xfId="14986" xr:uid="{FD43115F-5A55-4F72-953F-F6291A534B02}"/>
    <cellStyle name="Normal 9 3 8 4" xfId="10768" xr:uid="{2DFB127E-E768-43F1-B359-F500DBCEFE1A}"/>
    <cellStyle name="Normal 9 3 9" xfId="2673" xr:uid="{00000000-0005-0000-0000-000046200000}"/>
    <cellStyle name="Normal 9 3 9 2" xfId="6957" xr:uid="{00000000-0005-0000-0000-000047200000}"/>
    <cellStyle name="Normal 9 3 9 2 2" xfId="15399" xr:uid="{2E3818B1-D81C-4558-B6D8-F535B9071DF7}"/>
    <cellStyle name="Normal 9 3 9 3" xfId="11181" xr:uid="{25EEFB2D-36BE-46D3-BEDD-54D472834D2A}"/>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58AF825F-3A38-43F5-B58D-D54B3764824A}"/>
    <cellStyle name="Normal 9 5 2 2 2 3" xfId="11683" xr:uid="{4074A61A-D9FC-4E18-9652-9DD7A320D202}"/>
    <cellStyle name="Normal 9 5 2 2 3" xfId="5314" xr:uid="{00000000-0005-0000-0000-00004F200000}"/>
    <cellStyle name="Normal 9 5 2 2 3 2" xfId="13756" xr:uid="{371ACF53-616D-4826-8759-E2C1D2A8C6C6}"/>
    <cellStyle name="Normal 9 5 2 2 4" xfId="9538" xr:uid="{587DAD76-8A4C-4C09-8ADE-67A669F32E3E}"/>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1AA6F955-982F-45BE-B409-394F1537B727}"/>
    <cellStyle name="Normal 9 5 2 3 2 3" xfId="12096" xr:uid="{B1F5C20D-9696-4D29-AF66-33D79EA83C64}"/>
    <cellStyle name="Normal 9 5 2 3 3" xfId="5727" xr:uid="{00000000-0005-0000-0000-000053200000}"/>
    <cellStyle name="Normal 9 5 2 3 3 2" xfId="14169" xr:uid="{077EEA82-1C50-45B4-A102-D465EEA18DE8}"/>
    <cellStyle name="Normal 9 5 2 3 4" xfId="9951" xr:uid="{F12634C1-419C-4625-9673-2E3E94DC05B7}"/>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C5C6584D-5328-4E5C-A7A0-17644202F5C2}"/>
    <cellStyle name="Normal 9 5 2 4 2 3" xfId="12509" xr:uid="{35A6BF1F-3D19-446B-9FC0-6B408F6D97AB}"/>
    <cellStyle name="Normal 9 5 2 4 3" xfId="6140" xr:uid="{00000000-0005-0000-0000-000057200000}"/>
    <cellStyle name="Normal 9 5 2 4 3 2" xfId="14582" xr:uid="{AA645F14-E1E9-4BDE-A69C-67086A7DC8DB}"/>
    <cellStyle name="Normal 9 5 2 4 4" xfId="10364" xr:uid="{805241C5-F53E-493F-952E-DF6A01528061}"/>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4F312F62-4D5B-45DA-9F92-EC9E396A37D2}"/>
    <cellStyle name="Normal 9 5 2 5 2 3" xfId="12922" xr:uid="{7E7F00C1-3CF2-48EB-A8D4-FEF811B39394}"/>
    <cellStyle name="Normal 9 5 2 5 3" xfId="6553" xr:uid="{00000000-0005-0000-0000-00005B200000}"/>
    <cellStyle name="Normal 9 5 2 5 3 2" xfId="14995" xr:uid="{8204660A-FA2A-4A50-9F05-2D0F343A4985}"/>
    <cellStyle name="Normal 9 5 2 5 4" xfId="10777" xr:uid="{BC465C10-81FF-4408-8201-E0F61BF608E3}"/>
    <cellStyle name="Normal 9 5 2 6" xfId="2682" xr:uid="{00000000-0005-0000-0000-00005C200000}"/>
    <cellStyle name="Normal 9 5 2 6 2" xfId="6966" xr:uid="{00000000-0005-0000-0000-00005D200000}"/>
    <cellStyle name="Normal 9 5 2 6 2 2" xfId="15408" xr:uid="{8BE6F51C-2A89-4184-B48E-0995786F06FD}"/>
    <cellStyle name="Normal 9 5 2 6 3" xfId="11190" xr:uid="{40C9C4C5-56C9-411A-9CFB-AAF241C94407}"/>
    <cellStyle name="Normal 9 5 2 7" xfId="4901" xr:uid="{00000000-0005-0000-0000-00005E200000}"/>
    <cellStyle name="Normal 9 5 2 7 2" xfId="13343" xr:uid="{88B95413-A834-4D43-BE06-F12CA2871012}"/>
    <cellStyle name="Normal 9 5 2 8" xfId="9125" xr:uid="{412153CC-9074-44AE-AFA4-96E2667F6FAA}"/>
    <cellStyle name="Normal 9 5 3" xfId="1003" xr:uid="{00000000-0005-0000-0000-00005F200000}"/>
    <cellStyle name="Normal 9 5 3 2" xfId="3235" xr:uid="{00000000-0005-0000-0000-000060200000}"/>
    <cellStyle name="Normal 9 5 3 2 2" xfId="7458" xr:uid="{00000000-0005-0000-0000-000061200000}"/>
    <cellStyle name="Normal 9 5 3 2 2 2" xfId="15900" xr:uid="{73B7DCEA-40F0-4B28-A415-BFB82BB7ACD6}"/>
    <cellStyle name="Normal 9 5 3 2 3" xfId="11682" xr:uid="{FE0A49B6-A6E8-4A3A-81FB-5158A4E47376}"/>
    <cellStyle name="Normal 9 5 3 3" xfId="5313" xr:uid="{00000000-0005-0000-0000-000062200000}"/>
    <cellStyle name="Normal 9 5 3 3 2" xfId="13755" xr:uid="{5082ED48-9478-449E-A780-B357A84FE0C0}"/>
    <cellStyle name="Normal 9 5 3 4" xfId="9537" xr:uid="{A29A814C-BBA9-4933-AE0F-4631A656F843}"/>
    <cellStyle name="Normal 9 5 4" xfId="1418" xr:uid="{00000000-0005-0000-0000-000063200000}"/>
    <cellStyle name="Normal 9 5 4 2" xfId="3648" xr:uid="{00000000-0005-0000-0000-000064200000}"/>
    <cellStyle name="Normal 9 5 4 2 2" xfId="7871" xr:uid="{00000000-0005-0000-0000-000065200000}"/>
    <cellStyle name="Normal 9 5 4 2 2 2" xfId="16313" xr:uid="{C8D4D1E1-2E47-4EAE-85B9-EF07F83C3026}"/>
    <cellStyle name="Normal 9 5 4 2 3" xfId="12095" xr:uid="{9F0226CB-572A-4061-B68B-4BF6A7D852FC}"/>
    <cellStyle name="Normal 9 5 4 3" xfId="5726" xr:uid="{00000000-0005-0000-0000-000066200000}"/>
    <cellStyle name="Normal 9 5 4 3 2" xfId="14168" xr:uid="{AD74D72C-9006-4829-986B-533B19069072}"/>
    <cellStyle name="Normal 9 5 4 4" xfId="9950" xr:uid="{DFF8B57C-B08C-46C9-A461-88C923449513}"/>
    <cellStyle name="Normal 9 5 5" xfId="1831" xr:uid="{00000000-0005-0000-0000-000067200000}"/>
    <cellStyle name="Normal 9 5 5 2" xfId="4061" xr:uid="{00000000-0005-0000-0000-000068200000}"/>
    <cellStyle name="Normal 9 5 5 2 2" xfId="8284" xr:uid="{00000000-0005-0000-0000-000069200000}"/>
    <cellStyle name="Normal 9 5 5 2 2 2" xfId="16726" xr:uid="{FB79A27C-98AB-414F-8A79-F50C714EC5D3}"/>
    <cellStyle name="Normal 9 5 5 2 3" xfId="12508" xr:uid="{B5DF48DD-64AC-4E1F-A790-9956BE029A07}"/>
    <cellStyle name="Normal 9 5 5 3" xfId="6139" xr:uid="{00000000-0005-0000-0000-00006A200000}"/>
    <cellStyle name="Normal 9 5 5 3 2" xfId="14581" xr:uid="{4D7B863B-98F9-4A20-87E9-9AE98ABEC3A5}"/>
    <cellStyle name="Normal 9 5 5 4" xfId="10363" xr:uid="{7D0F8AE7-E047-4994-8B6B-833BC76B9E27}"/>
    <cellStyle name="Normal 9 5 6" xfId="2245" xr:uid="{00000000-0005-0000-0000-00006B200000}"/>
    <cellStyle name="Normal 9 5 6 2" xfId="4474" xr:uid="{00000000-0005-0000-0000-00006C200000}"/>
    <cellStyle name="Normal 9 5 6 2 2" xfId="8697" xr:uid="{00000000-0005-0000-0000-00006D200000}"/>
    <cellStyle name="Normal 9 5 6 2 2 2" xfId="17139" xr:uid="{BD69D9E4-5548-48DD-9C1D-1E6AE8387282}"/>
    <cellStyle name="Normal 9 5 6 2 3" xfId="12921" xr:uid="{5C05FF9F-B806-4228-BA11-E828C8CDF6F9}"/>
    <cellStyle name="Normal 9 5 6 3" xfId="6552" xr:uid="{00000000-0005-0000-0000-00006E200000}"/>
    <cellStyle name="Normal 9 5 6 3 2" xfId="14994" xr:uid="{827F2DB4-831E-4F3C-9766-AF6A6C9DD618}"/>
    <cellStyle name="Normal 9 5 6 4" xfId="10776" xr:uid="{390D042E-060D-40EB-888A-B6D3ED16C5F5}"/>
    <cellStyle name="Normal 9 5 7" xfId="2681" xr:uid="{00000000-0005-0000-0000-00006F200000}"/>
    <cellStyle name="Normal 9 5 7 2" xfId="6965" xr:uid="{00000000-0005-0000-0000-000070200000}"/>
    <cellStyle name="Normal 9 5 7 2 2" xfId="15407" xr:uid="{2BD7D646-5122-44C2-8D66-BED276B3B07B}"/>
    <cellStyle name="Normal 9 5 7 3" xfId="11189" xr:uid="{A0387DD5-89DA-4F30-A6CE-0B0160F5974B}"/>
    <cellStyle name="Normal 9 5 8" xfId="4900" xr:uid="{00000000-0005-0000-0000-000071200000}"/>
    <cellStyle name="Normal 9 5 8 2" xfId="13342" xr:uid="{D186D7F3-04E8-4460-A5F0-9AB6BBDF6D7B}"/>
    <cellStyle name="Normal 9 5 9" xfId="9124" xr:uid="{BB3C6FCB-0ADE-4079-9F8F-77F3F3A77AFD}"/>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28E16135-C742-48AD-968A-8B498D4AE247}"/>
    <cellStyle name="Normal 9 6 2 2 3" xfId="11684" xr:uid="{5B87F3D1-C9E5-4C4E-92E9-670C36D754F3}"/>
    <cellStyle name="Normal 9 6 2 3" xfId="5315" xr:uid="{00000000-0005-0000-0000-000076200000}"/>
    <cellStyle name="Normal 9 6 2 3 2" xfId="13757" xr:uid="{307B8B99-57E5-4E67-ADEE-CE4E2CDA8392}"/>
    <cellStyle name="Normal 9 6 2 4" xfId="9539" xr:uid="{BCDE4F3D-07A1-4CD0-9DC3-04956F09A7FE}"/>
    <cellStyle name="Normal 9 6 3" xfId="1420" xr:uid="{00000000-0005-0000-0000-000077200000}"/>
    <cellStyle name="Normal 9 6 3 2" xfId="3650" xr:uid="{00000000-0005-0000-0000-000078200000}"/>
    <cellStyle name="Normal 9 6 3 2 2" xfId="7873" xr:uid="{00000000-0005-0000-0000-000079200000}"/>
    <cellStyle name="Normal 9 6 3 2 2 2" xfId="16315" xr:uid="{32FA4F70-B1E5-40CC-845F-D8F4F3BA58AD}"/>
    <cellStyle name="Normal 9 6 3 2 3" xfId="12097" xr:uid="{6AA22933-EE14-4499-ABB7-095379C9639E}"/>
    <cellStyle name="Normal 9 6 3 3" xfId="5728" xr:uid="{00000000-0005-0000-0000-00007A200000}"/>
    <cellStyle name="Normal 9 6 3 3 2" xfId="14170" xr:uid="{3DFCC06A-5A28-43F2-954B-706E040C86A2}"/>
    <cellStyle name="Normal 9 6 3 4" xfId="9952" xr:uid="{834D79E7-4B5B-4B0D-9C85-F3AF9E8418E3}"/>
    <cellStyle name="Normal 9 6 4" xfId="1833" xr:uid="{00000000-0005-0000-0000-00007B200000}"/>
    <cellStyle name="Normal 9 6 4 2" xfId="4063" xr:uid="{00000000-0005-0000-0000-00007C200000}"/>
    <cellStyle name="Normal 9 6 4 2 2" xfId="8286" xr:uid="{00000000-0005-0000-0000-00007D200000}"/>
    <cellStyle name="Normal 9 6 4 2 2 2" xfId="16728" xr:uid="{F38A82BE-92B4-4D71-8BFE-5DD7BF08E506}"/>
    <cellStyle name="Normal 9 6 4 2 3" xfId="12510" xr:uid="{249720E2-A37A-41E5-BE66-D4D000227E08}"/>
    <cellStyle name="Normal 9 6 4 3" xfId="6141" xr:uid="{00000000-0005-0000-0000-00007E200000}"/>
    <cellStyle name="Normal 9 6 4 3 2" xfId="14583" xr:uid="{8ED4BAC8-0972-4391-A29B-EF5D87472648}"/>
    <cellStyle name="Normal 9 6 4 4" xfId="10365" xr:uid="{AD733743-C06D-4B2E-B16C-D4E8CCFCDD05}"/>
    <cellStyle name="Normal 9 6 5" xfId="2247" xr:uid="{00000000-0005-0000-0000-00007F200000}"/>
    <cellStyle name="Normal 9 6 5 2" xfId="4476" xr:uid="{00000000-0005-0000-0000-000080200000}"/>
    <cellStyle name="Normal 9 6 5 2 2" xfId="8699" xr:uid="{00000000-0005-0000-0000-000081200000}"/>
    <cellStyle name="Normal 9 6 5 2 2 2" xfId="17141" xr:uid="{BC3D84A5-DA1D-4E1D-8C46-2DE5A4903381}"/>
    <cellStyle name="Normal 9 6 5 2 3" xfId="12923" xr:uid="{815C6E64-7C04-4522-B26F-81B75BDDE224}"/>
    <cellStyle name="Normal 9 6 5 3" xfId="6554" xr:uid="{00000000-0005-0000-0000-000082200000}"/>
    <cellStyle name="Normal 9 6 5 3 2" xfId="14996" xr:uid="{77C0B5E2-66E3-4D30-BFD9-F2E89A76E706}"/>
    <cellStyle name="Normal 9 6 5 4" xfId="10778" xr:uid="{21A5CE7E-65AD-436C-8126-8F27DF2ADBEF}"/>
    <cellStyle name="Normal 9 6 6" xfId="2683" xr:uid="{00000000-0005-0000-0000-000083200000}"/>
    <cellStyle name="Normal 9 6 6 2" xfId="6967" xr:uid="{00000000-0005-0000-0000-000084200000}"/>
    <cellStyle name="Normal 9 6 6 2 2" xfId="15409" xr:uid="{445ADF12-9B92-4028-A09D-03B251B7F192}"/>
    <cellStyle name="Normal 9 6 6 3" xfId="11191" xr:uid="{D19881DB-F324-4B61-9112-60B03879CAFE}"/>
    <cellStyle name="Normal 9 6 7" xfId="4902" xr:uid="{00000000-0005-0000-0000-000085200000}"/>
    <cellStyle name="Normal 9 6 7 2" xfId="13344" xr:uid="{E00FD14C-2E1C-4081-9FD1-DB2A047D22A1}"/>
    <cellStyle name="Normal 9 6 8" xfId="9126" xr:uid="{8463A46D-D3EB-467E-8004-520FD83DF737}"/>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31EA4364-EF26-4A98-A455-F938D1CAA066}"/>
    <cellStyle name="Note 2 2 10 3" xfId="11272" xr:uid="{B37EA6DC-E4BE-42C2-8A2A-5D382FD0E2B6}"/>
    <cellStyle name="Note 2 2 11" xfId="4903" xr:uid="{00000000-0005-0000-0000-000094200000}"/>
    <cellStyle name="Note 2 2 11 2" xfId="13345" xr:uid="{10AC22EA-C9EA-4218-829C-3DAEE7720B28}"/>
    <cellStyle name="Note 2 2 12" xfId="9127" xr:uid="{C45983D9-8938-4C83-BFC2-69E70DA6AB53}"/>
    <cellStyle name="Note 2 2 2" xfId="546" xr:uid="{00000000-0005-0000-0000-000095200000}"/>
    <cellStyle name="Note 2 2 2 10" xfId="4904" xr:uid="{00000000-0005-0000-0000-000096200000}"/>
    <cellStyle name="Note 2 2 2 10 2" xfId="13346" xr:uid="{6119B680-BBB5-4A02-BA9A-032BB68742F7}"/>
    <cellStyle name="Note 2 2 2 11" xfId="9128" xr:uid="{3D8C2AB0-66C2-4533-A7C9-6835F63E172B}"/>
    <cellStyle name="Note 2 2 2 2" xfId="547" xr:uid="{00000000-0005-0000-0000-000097200000}"/>
    <cellStyle name="Note 2 2 2 2 10" xfId="9129" xr:uid="{A85543E8-7713-43BA-875E-F31494FB953D}"/>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4CA6C6BB-73AE-434B-94F8-1B71519F0AE3}"/>
    <cellStyle name="Note 2 2 2 2 2 2 3" xfId="11687" xr:uid="{9716746A-08E4-48B1-97D5-11E0EC4ED319}"/>
    <cellStyle name="Note 2 2 2 2 2 3" xfId="5318" xr:uid="{00000000-0005-0000-0000-00009B200000}"/>
    <cellStyle name="Note 2 2 2 2 2 3 2" xfId="13760" xr:uid="{0C27FBF5-1BF3-48E9-B6AE-8009DBF5572F}"/>
    <cellStyle name="Note 2 2 2 2 2 4" xfId="9542" xr:uid="{5489ED3A-6486-4DA6-B640-56E6AF737070}"/>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0979CE48-9D88-41B0-BE43-422D4C99DE63}"/>
    <cellStyle name="Note 2 2 2 2 3 2 3" xfId="12100" xr:uid="{FF6FE845-DFA3-47BB-8334-17702D1D1002}"/>
    <cellStyle name="Note 2 2 2 2 3 3" xfId="5731" xr:uid="{00000000-0005-0000-0000-00009F200000}"/>
    <cellStyle name="Note 2 2 2 2 3 3 2" xfId="14173" xr:uid="{CDCC26B1-8030-4369-BD9C-1FF96474949E}"/>
    <cellStyle name="Note 2 2 2 2 3 4" xfId="9955" xr:uid="{58D96ECE-670B-4D0C-9520-D818C8C18726}"/>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2D815882-537E-4D12-B6C0-4530BEF7005A}"/>
    <cellStyle name="Note 2 2 2 2 4 2 3" xfId="12513" xr:uid="{7C8017E6-E561-47BD-9524-025C503525DD}"/>
    <cellStyle name="Note 2 2 2 2 4 3" xfId="6144" xr:uid="{00000000-0005-0000-0000-0000A3200000}"/>
    <cellStyle name="Note 2 2 2 2 4 3 2" xfId="14586" xr:uid="{953375BD-6FAD-4384-96F8-08EA8FB4515D}"/>
    <cellStyle name="Note 2 2 2 2 4 4" xfId="10368" xr:uid="{CCB95C63-C60D-4607-9644-5F33C32245CB}"/>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D329B37C-2EA7-4328-B720-F4D5F349B21A}"/>
    <cellStyle name="Note 2 2 2 2 5 2 3" xfId="12926" xr:uid="{2F6E6D17-68D7-40CE-A130-66C6982A6637}"/>
    <cellStyle name="Note 2 2 2 2 5 3" xfId="6557" xr:uid="{00000000-0005-0000-0000-0000A7200000}"/>
    <cellStyle name="Note 2 2 2 2 5 3 2" xfId="14999" xr:uid="{8EC79E1B-F38E-4DA3-9344-A8B5AC95EACB}"/>
    <cellStyle name="Note 2 2 2 2 5 4" xfId="10781" xr:uid="{CA713B17-61C6-4994-9E39-2967B2724238}"/>
    <cellStyle name="Note 2 2 2 2 6" xfId="2686" xr:uid="{00000000-0005-0000-0000-0000A8200000}"/>
    <cellStyle name="Note 2 2 2 2 6 2" xfId="6970" xr:uid="{00000000-0005-0000-0000-0000A9200000}"/>
    <cellStyle name="Note 2 2 2 2 6 2 2" xfId="15412" xr:uid="{510A38D3-DC26-42AB-9AE5-2D2DD3D63E70}"/>
    <cellStyle name="Note 2 2 2 2 6 3" xfId="11194" xr:uid="{FCB75A30-ACC2-4BA5-A7F9-A5F032407469}"/>
    <cellStyle name="Note 2 2 2 2 7" xfId="2745" xr:uid="{00000000-0005-0000-0000-0000AA200000}"/>
    <cellStyle name="Note 2 2 2 2 8" xfId="2826" xr:uid="{00000000-0005-0000-0000-0000AB200000}"/>
    <cellStyle name="Note 2 2 2 2 8 2" xfId="7050" xr:uid="{00000000-0005-0000-0000-0000AC200000}"/>
    <cellStyle name="Note 2 2 2 2 8 2 2" xfId="15492" xr:uid="{428AD61A-EB67-4BD0-BBE1-CC4ACB7DC6AA}"/>
    <cellStyle name="Note 2 2 2 2 8 3" xfId="11274" xr:uid="{0E89A6B3-2800-47BE-A498-50103D7AEF42}"/>
    <cellStyle name="Note 2 2 2 2 9" xfId="4905" xr:uid="{00000000-0005-0000-0000-0000AD200000}"/>
    <cellStyle name="Note 2 2 2 2 9 2" xfId="13347" xr:uid="{A4BA6A0E-73B0-44EF-A88A-EE42E48EB709}"/>
    <cellStyle name="Note 2 2 2 3" xfId="1007" xr:uid="{00000000-0005-0000-0000-0000AE200000}"/>
    <cellStyle name="Note 2 2 2 3 2" xfId="3239" xr:uid="{00000000-0005-0000-0000-0000AF200000}"/>
    <cellStyle name="Note 2 2 2 3 2 2" xfId="7462" xr:uid="{00000000-0005-0000-0000-0000B0200000}"/>
    <cellStyle name="Note 2 2 2 3 2 2 2" xfId="15904" xr:uid="{0718196C-34AC-4E72-A7E2-0AECCD12F650}"/>
    <cellStyle name="Note 2 2 2 3 2 3" xfId="11686" xr:uid="{BFDDC9CB-9539-495E-A5DC-4BB5B6863D17}"/>
    <cellStyle name="Note 2 2 2 3 3" xfId="5317" xr:uid="{00000000-0005-0000-0000-0000B1200000}"/>
    <cellStyle name="Note 2 2 2 3 3 2" xfId="13759" xr:uid="{35A0295E-01B4-47E7-9111-54B4B9E3C037}"/>
    <cellStyle name="Note 2 2 2 3 4" xfId="9541" xr:uid="{0B0A0C58-2621-48E1-A470-18D9427707C9}"/>
    <cellStyle name="Note 2 2 2 4" xfId="1422" xr:uid="{00000000-0005-0000-0000-0000B2200000}"/>
    <cellStyle name="Note 2 2 2 4 2" xfId="3652" xr:uid="{00000000-0005-0000-0000-0000B3200000}"/>
    <cellStyle name="Note 2 2 2 4 2 2" xfId="7875" xr:uid="{00000000-0005-0000-0000-0000B4200000}"/>
    <cellStyle name="Note 2 2 2 4 2 2 2" xfId="16317" xr:uid="{1CE476B0-99AB-4124-82E5-5A96AB9B85E6}"/>
    <cellStyle name="Note 2 2 2 4 2 3" xfId="12099" xr:uid="{CB883BBF-2CA6-4059-A93E-5451EA8EF627}"/>
    <cellStyle name="Note 2 2 2 4 3" xfId="5730" xr:uid="{00000000-0005-0000-0000-0000B5200000}"/>
    <cellStyle name="Note 2 2 2 4 3 2" xfId="14172" xr:uid="{362145F7-6E57-487D-B413-D14B95A019DC}"/>
    <cellStyle name="Note 2 2 2 4 4" xfId="9954" xr:uid="{E7D1DE3E-EC26-4C0A-AC18-76B126A91693}"/>
    <cellStyle name="Note 2 2 2 5" xfId="1836" xr:uid="{00000000-0005-0000-0000-0000B6200000}"/>
    <cellStyle name="Note 2 2 2 5 2" xfId="4065" xr:uid="{00000000-0005-0000-0000-0000B7200000}"/>
    <cellStyle name="Note 2 2 2 5 2 2" xfId="8288" xr:uid="{00000000-0005-0000-0000-0000B8200000}"/>
    <cellStyle name="Note 2 2 2 5 2 2 2" xfId="16730" xr:uid="{9A4A5483-CD76-417A-B13B-0522AC38118A}"/>
    <cellStyle name="Note 2 2 2 5 2 3" xfId="12512" xr:uid="{6E64A065-5F7F-453A-B336-1B04CB2F2160}"/>
    <cellStyle name="Note 2 2 2 5 3" xfId="6143" xr:uid="{00000000-0005-0000-0000-0000B9200000}"/>
    <cellStyle name="Note 2 2 2 5 3 2" xfId="14585" xr:uid="{057C9776-A628-4DD2-BC4E-847AD19CC713}"/>
    <cellStyle name="Note 2 2 2 5 4" xfId="10367" xr:uid="{4EC7C4FB-D4DC-4F7E-883E-D6FD8BF13644}"/>
    <cellStyle name="Note 2 2 2 6" xfId="2249" xr:uid="{00000000-0005-0000-0000-0000BA200000}"/>
    <cellStyle name="Note 2 2 2 6 2" xfId="4478" xr:uid="{00000000-0005-0000-0000-0000BB200000}"/>
    <cellStyle name="Note 2 2 2 6 2 2" xfId="8701" xr:uid="{00000000-0005-0000-0000-0000BC200000}"/>
    <cellStyle name="Note 2 2 2 6 2 2 2" xfId="17143" xr:uid="{950ED6C0-7379-4090-A54A-A0A9D2E67737}"/>
    <cellStyle name="Note 2 2 2 6 2 3" xfId="12925" xr:uid="{E9779D35-805C-41DC-9358-427C6E87022C}"/>
    <cellStyle name="Note 2 2 2 6 3" xfId="6556" xr:uid="{00000000-0005-0000-0000-0000BD200000}"/>
    <cellStyle name="Note 2 2 2 6 3 2" xfId="14998" xr:uid="{F6D83775-64CE-4A98-B8D3-D82793B000B8}"/>
    <cellStyle name="Note 2 2 2 6 4" xfId="10780" xr:uid="{8D6BB2DB-BBCB-4DEB-A723-9C706CE41931}"/>
    <cellStyle name="Note 2 2 2 7" xfId="2685" xr:uid="{00000000-0005-0000-0000-0000BE200000}"/>
    <cellStyle name="Note 2 2 2 7 2" xfId="6969" xr:uid="{00000000-0005-0000-0000-0000BF200000}"/>
    <cellStyle name="Note 2 2 2 7 2 2" xfId="15411" xr:uid="{739FE09B-A33A-43C7-90A0-6D9C037BD845}"/>
    <cellStyle name="Note 2 2 2 7 3" xfId="11193" xr:uid="{FF818BBB-A039-4655-8B22-9BD767FE0C17}"/>
    <cellStyle name="Note 2 2 2 8" xfId="2744" xr:uid="{00000000-0005-0000-0000-0000C0200000}"/>
    <cellStyle name="Note 2 2 2 9" xfId="2825" xr:uid="{00000000-0005-0000-0000-0000C1200000}"/>
    <cellStyle name="Note 2 2 2 9 2" xfId="7049" xr:uid="{00000000-0005-0000-0000-0000C2200000}"/>
    <cellStyle name="Note 2 2 2 9 2 2" xfId="15491" xr:uid="{163B80F7-ED6A-4732-BA37-BD157DDA2869}"/>
    <cellStyle name="Note 2 2 2 9 3" xfId="11273" xr:uid="{612A385A-D4EF-49F5-83AE-3885F982FB7C}"/>
    <cellStyle name="Note 2 2 3" xfId="548" xr:uid="{00000000-0005-0000-0000-0000C3200000}"/>
    <cellStyle name="Note 2 2 3 10" xfId="9130" xr:uid="{802E3DCA-AD1D-4ECE-84D6-8FBAC46A1D86}"/>
    <cellStyle name="Note 2 2 3 2" xfId="1009" xr:uid="{00000000-0005-0000-0000-0000C4200000}"/>
    <cellStyle name="Note 2 2 3 2 2" xfId="3241" xr:uid="{00000000-0005-0000-0000-0000C5200000}"/>
    <cellStyle name="Note 2 2 3 2 2 2" xfId="7464" xr:uid="{00000000-0005-0000-0000-0000C6200000}"/>
    <cellStyle name="Note 2 2 3 2 2 2 2" xfId="15906" xr:uid="{0DC44422-360C-45EC-A8F9-26C988032EEA}"/>
    <cellStyle name="Note 2 2 3 2 2 3" xfId="11688" xr:uid="{DD906005-FF71-414F-9850-C9500CCE266A}"/>
    <cellStyle name="Note 2 2 3 2 3" xfId="5319" xr:uid="{00000000-0005-0000-0000-0000C7200000}"/>
    <cellStyle name="Note 2 2 3 2 3 2" xfId="13761" xr:uid="{09807141-6975-43ED-B479-DD19D1AE846E}"/>
    <cellStyle name="Note 2 2 3 2 4" xfId="9543" xr:uid="{637721B4-AE34-4DFA-A028-A353E89303D2}"/>
    <cellStyle name="Note 2 2 3 3" xfId="1424" xr:uid="{00000000-0005-0000-0000-0000C8200000}"/>
    <cellStyle name="Note 2 2 3 3 2" xfId="3654" xr:uid="{00000000-0005-0000-0000-0000C9200000}"/>
    <cellStyle name="Note 2 2 3 3 2 2" xfId="7877" xr:uid="{00000000-0005-0000-0000-0000CA200000}"/>
    <cellStyle name="Note 2 2 3 3 2 2 2" xfId="16319" xr:uid="{1041B479-001D-4651-8445-729390CB5876}"/>
    <cellStyle name="Note 2 2 3 3 2 3" xfId="12101" xr:uid="{FB83D4DC-5667-4D6F-8F44-CAEA31F50017}"/>
    <cellStyle name="Note 2 2 3 3 3" xfId="5732" xr:uid="{00000000-0005-0000-0000-0000CB200000}"/>
    <cellStyle name="Note 2 2 3 3 3 2" xfId="14174" xr:uid="{C83A780A-DA9B-4829-9A51-5C5EA1E64BBF}"/>
    <cellStyle name="Note 2 2 3 3 4" xfId="9956" xr:uid="{DF247D26-6C92-4961-A83E-5CA6D84FE05B}"/>
    <cellStyle name="Note 2 2 3 4" xfId="1838" xr:uid="{00000000-0005-0000-0000-0000CC200000}"/>
    <cellStyle name="Note 2 2 3 4 2" xfId="4067" xr:uid="{00000000-0005-0000-0000-0000CD200000}"/>
    <cellStyle name="Note 2 2 3 4 2 2" xfId="8290" xr:uid="{00000000-0005-0000-0000-0000CE200000}"/>
    <cellStyle name="Note 2 2 3 4 2 2 2" xfId="16732" xr:uid="{8769EE9E-D8B2-4078-9AAE-E4DFAFB720CF}"/>
    <cellStyle name="Note 2 2 3 4 2 3" xfId="12514" xr:uid="{3E40EC00-FE64-45B2-9084-49CB642D21FD}"/>
    <cellStyle name="Note 2 2 3 4 3" xfId="6145" xr:uid="{00000000-0005-0000-0000-0000CF200000}"/>
    <cellStyle name="Note 2 2 3 4 3 2" xfId="14587" xr:uid="{879A0FFD-8220-475D-9168-9B7F52D7B166}"/>
    <cellStyle name="Note 2 2 3 4 4" xfId="10369" xr:uid="{4CB4DB11-C0CD-455A-B467-CEA91A216B80}"/>
    <cellStyle name="Note 2 2 3 5" xfId="2251" xr:uid="{00000000-0005-0000-0000-0000D0200000}"/>
    <cellStyle name="Note 2 2 3 5 2" xfId="4480" xr:uid="{00000000-0005-0000-0000-0000D1200000}"/>
    <cellStyle name="Note 2 2 3 5 2 2" xfId="8703" xr:uid="{00000000-0005-0000-0000-0000D2200000}"/>
    <cellStyle name="Note 2 2 3 5 2 2 2" xfId="17145" xr:uid="{7192849B-CA34-4C50-A351-97CF0BD768C0}"/>
    <cellStyle name="Note 2 2 3 5 2 3" xfId="12927" xr:uid="{60D82D11-A578-4DFA-A05F-7AC7119026B5}"/>
    <cellStyle name="Note 2 2 3 5 3" xfId="6558" xr:uid="{00000000-0005-0000-0000-0000D3200000}"/>
    <cellStyle name="Note 2 2 3 5 3 2" xfId="15000" xr:uid="{888A09A7-A6F5-4D40-8CF5-74A6DF8732BF}"/>
    <cellStyle name="Note 2 2 3 5 4" xfId="10782" xr:uid="{0D08B259-2672-4A6F-9720-993C4E80FA98}"/>
    <cellStyle name="Note 2 2 3 6" xfId="2687" xr:uid="{00000000-0005-0000-0000-0000D4200000}"/>
    <cellStyle name="Note 2 2 3 6 2" xfId="6971" xr:uid="{00000000-0005-0000-0000-0000D5200000}"/>
    <cellStyle name="Note 2 2 3 6 2 2" xfId="15413" xr:uid="{A2D79105-4934-4C2F-97A6-4298C99F2A24}"/>
    <cellStyle name="Note 2 2 3 6 3" xfId="11195" xr:uid="{8D176AAD-FEF7-4C03-8A4E-166D80EBC644}"/>
    <cellStyle name="Note 2 2 3 7" xfId="2746" xr:uid="{00000000-0005-0000-0000-0000D6200000}"/>
    <cellStyle name="Note 2 2 3 8" xfId="2827" xr:uid="{00000000-0005-0000-0000-0000D7200000}"/>
    <cellStyle name="Note 2 2 3 8 2" xfId="7051" xr:uid="{00000000-0005-0000-0000-0000D8200000}"/>
    <cellStyle name="Note 2 2 3 8 2 2" xfId="15493" xr:uid="{A847D34F-8FC9-49F9-8537-534661B7493C}"/>
    <cellStyle name="Note 2 2 3 8 3" xfId="11275" xr:uid="{CFAAE698-145F-400D-9507-71B9A4938887}"/>
    <cellStyle name="Note 2 2 3 9" xfId="4906" xr:uid="{00000000-0005-0000-0000-0000D9200000}"/>
    <cellStyle name="Note 2 2 3 9 2" xfId="13348" xr:uid="{B748E9B8-F5FA-4401-A2B5-9F26BEAE4A91}"/>
    <cellStyle name="Note 2 2 4" xfId="1006" xr:uid="{00000000-0005-0000-0000-0000DA200000}"/>
    <cellStyle name="Note 2 2 4 2" xfId="3238" xr:uid="{00000000-0005-0000-0000-0000DB200000}"/>
    <cellStyle name="Note 2 2 4 2 2" xfId="7461" xr:uid="{00000000-0005-0000-0000-0000DC200000}"/>
    <cellStyle name="Note 2 2 4 2 2 2" xfId="15903" xr:uid="{DCBFEFA4-F6A3-4D5E-A3F6-B99BBD222667}"/>
    <cellStyle name="Note 2 2 4 2 3" xfId="11685" xr:uid="{2D695DB5-4F8F-4B1D-B08F-64D359652A93}"/>
    <cellStyle name="Note 2 2 4 3" xfId="5316" xr:uid="{00000000-0005-0000-0000-0000DD200000}"/>
    <cellStyle name="Note 2 2 4 3 2" xfId="13758" xr:uid="{4789A54B-19C4-4C5E-ABA3-7A7CC85EDA28}"/>
    <cellStyle name="Note 2 2 4 4" xfId="9540" xr:uid="{18D2892A-31B7-4C22-A730-DE7630A47719}"/>
    <cellStyle name="Note 2 2 5" xfId="1421" xr:uid="{00000000-0005-0000-0000-0000DE200000}"/>
    <cellStyle name="Note 2 2 5 2" xfId="3651" xr:uid="{00000000-0005-0000-0000-0000DF200000}"/>
    <cellStyle name="Note 2 2 5 2 2" xfId="7874" xr:uid="{00000000-0005-0000-0000-0000E0200000}"/>
    <cellStyle name="Note 2 2 5 2 2 2" xfId="16316" xr:uid="{94F90A92-870E-4FA7-862F-437B92C9453A}"/>
    <cellStyle name="Note 2 2 5 2 3" xfId="12098" xr:uid="{FD63CD10-9063-4D94-B524-43396AE845DB}"/>
    <cellStyle name="Note 2 2 5 3" xfId="5729" xr:uid="{00000000-0005-0000-0000-0000E1200000}"/>
    <cellStyle name="Note 2 2 5 3 2" xfId="14171" xr:uid="{4BF3B3DC-81EE-45A8-82D7-2EE34128F273}"/>
    <cellStyle name="Note 2 2 5 4" xfId="9953" xr:uid="{82590C71-2E1B-455B-A68F-89BD608FE4BE}"/>
    <cellStyle name="Note 2 2 6" xfId="1835" xr:uid="{00000000-0005-0000-0000-0000E2200000}"/>
    <cellStyle name="Note 2 2 6 2" xfId="4064" xr:uid="{00000000-0005-0000-0000-0000E3200000}"/>
    <cellStyle name="Note 2 2 6 2 2" xfId="8287" xr:uid="{00000000-0005-0000-0000-0000E4200000}"/>
    <cellStyle name="Note 2 2 6 2 2 2" xfId="16729" xr:uid="{79808692-5452-44B4-AF4C-DD116AC90E6C}"/>
    <cellStyle name="Note 2 2 6 2 3" xfId="12511" xr:uid="{771CF3FE-F41A-47AB-8A7D-C191C05EC40C}"/>
    <cellStyle name="Note 2 2 6 3" xfId="6142" xr:uid="{00000000-0005-0000-0000-0000E5200000}"/>
    <cellStyle name="Note 2 2 6 3 2" xfId="14584" xr:uid="{D3A340EF-C3DE-4596-B8FB-578E4BD82E7B}"/>
    <cellStyle name="Note 2 2 6 4" xfId="10366" xr:uid="{AC19A7A3-FDF9-4C29-97DA-5C55710328D1}"/>
    <cellStyle name="Note 2 2 7" xfId="2248" xr:uid="{00000000-0005-0000-0000-0000E6200000}"/>
    <cellStyle name="Note 2 2 7 2" xfId="4477" xr:uid="{00000000-0005-0000-0000-0000E7200000}"/>
    <cellStyle name="Note 2 2 7 2 2" xfId="8700" xr:uid="{00000000-0005-0000-0000-0000E8200000}"/>
    <cellStyle name="Note 2 2 7 2 2 2" xfId="17142" xr:uid="{04DB7588-96B7-41DD-AE76-92EA70F2087A}"/>
    <cellStyle name="Note 2 2 7 2 3" xfId="12924" xr:uid="{4917C2FA-9C87-4CD8-BE4E-D33D10F497D6}"/>
    <cellStyle name="Note 2 2 7 3" xfId="6555" xr:uid="{00000000-0005-0000-0000-0000E9200000}"/>
    <cellStyle name="Note 2 2 7 3 2" xfId="14997" xr:uid="{24CBAE41-F1A0-4036-A080-60E201360C87}"/>
    <cellStyle name="Note 2 2 7 4" xfId="10779" xr:uid="{68625F71-2645-4D0F-A32D-C853035975CF}"/>
    <cellStyle name="Note 2 2 8" xfId="2684" xr:uid="{00000000-0005-0000-0000-0000EA200000}"/>
    <cellStyle name="Note 2 2 8 2" xfId="6968" xr:uid="{00000000-0005-0000-0000-0000EB200000}"/>
    <cellStyle name="Note 2 2 8 2 2" xfId="15410" xr:uid="{E63F0DCE-4BF1-4899-81D2-775EABD0E83A}"/>
    <cellStyle name="Note 2 2 8 3" xfId="11192" xr:uid="{6744F4BC-4194-4C8D-B497-35F1953C9FE2}"/>
    <cellStyle name="Note 2 2 9" xfId="2743" xr:uid="{00000000-0005-0000-0000-0000EC200000}"/>
    <cellStyle name="Note 2 3" xfId="549" xr:uid="{00000000-0005-0000-0000-0000ED200000}"/>
    <cellStyle name="Note 2 3 10" xfId="4907" xr:uid="{00000000-0005-0000-0000-0000EE200000}"/>
    <cellStyle name="Note 2 3 10 2" xfId="13349" xr:uid="{96336153-B31D-47F2-A96C-3B47F6C736A3}"/>
    <cellStyle name="Note 2 3 11" xfId="9131" xr:uid="{6E20E241-4F28-4930-A9C4-E23BB3EDD121}"/>
    <cellStyle name="Note 2 3 2" xfId="550" xr:uid="{00000000-0005-0000-0000-0000EF200000}"/>
    <cellStyle name="Note 2 3 2 10" xfId="9132" xr:uid="{D4492DAC-FF1D-4A68-BA4E-43D91D343383}"/>
    <cellStyle name="Note 2 3 2 2" xfId="1011" xr:uid="{00000000-0005-0000-0000-0000F0200000}"/>
    <cellStyle name="Note 2 3 2 2 2" xfId="3243" xr:uid="{00000000-0005-0000-0000-0000F1200000}"/>
    <cellStyle name="Note 2 3 2 2 2 2" xfId="7466" xr:uid="{00000000-0005-0000-0000-0000F2200000}"/>
    <cellStyle name="Note 2 3 2 2 2 2 2" xfId="15908" xr:uid="{59265457-D3AA-4FC8-B516-07BCFDC053C6}"/>
    <cellStyle name="Note 2 3 2 2 2 3" xfId="11690" xr:uid="{25BFDB0B-4AE3-4BD3-8D30-F4557EE4BABC}"/>
    <cellStyle name="Note 2 3 2 2 3" xfId="5321" xr:uid="{00000000-0005-0000-0000-0000F3200000}"/>
    <cellStyle name="Note 2 3 2 2 3 2" xfId="13763" xr:uid="{CCD8946F-682F-4E39-B6D5-E9E86B87218C}"/>
    <cellStyle name="Note 2 3 2 2 4" xfId="9545" xr:uid="{CCCF521E-1A42-4BD1-8EA2-192B7EDFF531}"/>
    <cellStyle name="Note 2 3 2 3" xfId="1426" xr:uid="{00000000-0005-0000-0000-0000F4200000}"/>
    <cellStyle name="Note 2 3 2 3 2" xfId="3656" xr:uid="{00000000-0005-0000-0000-0000F5200000}"/>
    <cellStyle name="Note 2 3 2 3 2 2" xfId="7879" xr:uid="{00000000-0005-0000-0000-0000F6200000}"/>
    <cellStyle name="Note 2 3 2 3 2 2 2" xfId="16321" xr:uid="{47F58E1B-9744-4948-8362-081290F31AB9}"/>
    <cellStyle name="Note 2 3 2 3 2 3" xfId="12103" xr:uid="{BA9ECACA-D30D-48DF-A29D-CEB6859C26BF}"/>
    <cellStyle name="Note 2 3 2 3 3" xfId="5734" xr:uid="{00000000-0005-0000-0000-0000F7200000}"/>
    <cellStyle name="Note 2 3 2 3 3 2" xfId="14176" xr:uid="{BB5BCD82-37DC-4260-96A6-A1BA029233ED}"/>
    <cellStyle name="Note 2 3 2 3 4" xfId="9958" xr:uid="{724451A1-6996-424A-BD71-C93C8260DB6E}"/>
    <cellStyle name="Note 2 3 2 4" xfId="1840" xr:uid="{00000000-0005-0000-0000-0000F8200000}"/>
    <cellStyle name="Note 2 3 2 4 2" xfId="4069" xr:uid="{00000000-0005-0000-0000-0000F9200000}"/>
    <cellStyle name="Note 2 3 2 4 2 2" xfId="8292" xr:uid="{00000000-0005-0000-0000-0000FA200000}"/>
    <cellStyle name="Note 2 3 2 4 2 2 2" xfId="16734" xr:uid="{42B7FC98-74E4-424E-BA90-3F086E6CCCEB}"/>
    <cellStyle name="Note 2 3 2 4 2 3" xfId="12516" xr:uid="{27508205-5D44-478B-A533-86593823475C}"/>
    <cellStyle name="Note 2 3 2 4 3" xfId="6147" xr:uid="{00000000-0005-0000-0000-0000FB200000}"/>
    <cellStyle name="Note 2 3 2 4 3 2" xfId="14589" xr:uid="{F9FBBB47-433E-4BF4-8113-482403730BA1}"/>
    <cellStyle name="Note 2 3 2 4 4" xfId="10371" xr:uid="{6C884CB0-B4D1-459A-AAD9-63667F8F1102}"/>
    <cellStyle name="Note 2 3 2 5" xfId="2253" xr:uid="{00000000-0005-0000-0000-0000FC200000}"/>
    <cellStyle name="Note 2 3 2 5 2" xfId="4482" xr:uid="{00000000-0005-0000-0000-0000FD200000}"/>
    <cellStyle name="Note 2 3 2 5 2 2" xfId="8705" xr:uid="{00000000-0005-0000-0000-0000FE200000}"/>
    <cellStyle name="Note 2 3 2 5 2 2 2" xfId="17147" xr:uid="{84B73221-F736-43D7-A97E-6570C7D9D013}"/>
    <cellStyle name="Note 2 3 2 5 2 3" xfId="12929" xr:uid="{37DAEF70-16A8-433C-9C21-E4FF992FA204}"/>
    <cellStyle name="Note 2 3 2 5 3" xfId="6560" xr:uid="{00000000-0005-0000-0000-0000FF200000}"/>
    <cellStyle name="Note 2 3 2 5 3 2" xfId="15002" xr:uid="{A79244F7-8E67-445B-8AF2-54F64EE61AE0}"/>
    <cellStyle name="Note 2 3 2 5 4" xfId="10784" xr:uid="{33375E0E-00C0-46D7-9835-C396F45B43F3}"/>
    <cellStyle name="Note 2 3 2 6" xfId="2689" xr:uid="{00000000-0005-0000-0000-000000210000}"/>
    <cellStyle name="Note 2 3 2 6 2" xfId="6973" xr:uid="{00000000-0005-0000-0000-000001210000}"/>
    <cellStyle name="Note 2 3 2 6 2 2" xfId="15415" xr:uid="{758DB764-0BD8-4286-8324-F39EC1681DD8}"/>
    <cellStyle name="Note 2 3 2 6 3" xfId="11197" xr:uid="{9F210CA9-71A0-48FE-853D-0F77C5D5561F}"/>
    <cellStyle name="Note 2 3 2 7" xfId="2748" xr:uid="{00000000-0005-0000-0000-000002210000}"/>
    <cellStyle name="Note 2 3 2 8" xfId="2829" xr:uid="{00000000-0005-0000-0000-000003210000}"/>
    <cellStyle name="Note 2 3 2 8 2" xfId="7053" xr:uid="{00000000-0005-0000-0000-000004210000}"/>
    <cellStyle name="Note 2 3 2 8 2 2" xfId="15495" xr:uid="{45211DEE-E14F-437C-A4AF-456BE66DBBB1}"/>
    <cellStyle name="Note 2 3 2 8 3" xfId="11277" xr:uid="{2683413C-EA30-4D28-8489-2DE53A9D0C4A}"/>
    <cellStyle name="Note 2 3 2 9" xfId="4908" xr:uid="{00000000-0005-0000-0000-000005210000}"/>
    <cellStyle name="Note 2 3 2 9 2" xfId="13350" xr:uid="{95B9E837-39FF-42A5-B91A-FE250849EF66}"/>
    <cellStyle name="Note 2 3 3" xfId="1010" xr:uid="{00000000-0005-0000-0000-000006210000}"/>
    <cellStyle name="Note 2 3 3 2" xfId="3242" xr:uid="{00000000-0005-0000-0000-000007210000}"/>
    <cellStyle name="Note 2 3 3 2 2" xfId="7465" xr:uid="{00000000-0005-0000-0000-000008210000}"/>
    <cellStyle name="Note 2 3 3 2 2 2" xfId="15907" xr:uid="{5969EB41-69D2-42EF-A86C-B6053BB3C8DD}"/>
    <cellStyle name="Note 2 3 3 2 3" xfId="11689" xr:uid="{B47A905D-E45C-46FE-B749-C15D044A33A0}"/>
    <cellStyle name="Note 2 3 3 3" xfId="5320" xr:uid="{00000000-0005-0000-0000-000009210000}"/>
    <cellStyle name="Note 2 3 3 3 2" xfId="13762" xr:uid="{455D0C3D-582A-450C-963B-C5FABDE874F0}"/>
    <cellStyle name="Note 2 3 3 4" xfId="9544" xr:uid="{8F287C74-9FA4-4679-93E9-2CAEB8B82D53}"/>
    <cellStyle name="Note 2 3 4" xfId="1425" xr:uid="{00000000-0005-0000-0000-00000A210000}"/>
    <cellStyle name="Note 2 3 4 2" xfId="3655" xr:uid="{00000000-0005-0000-0000-00000B210000}"/>
    <cellStyle name="Note 2 3 4 2 2" xfId="7878" xr:uid="{00000000-0005-0000-0000-00000C210000}"/>
    <cellStyle name="Note 2 3 4 2 2 2" xfId="16320" xr:uid="{8B3D1C92-0C32-4ED2-9F4B-2575D27B43F5}"/>
    <cellStyle name="Note 2 3 4 2 3" xfId="12102" xr:uid="{263457AD-617F-4F5E-9B36-8CCBA10BD43A}"/>
    <cellStyle name="Note 2 3 4 3" xfId="5733" xr:uid="{00000000-0005-0000-0000-00000D210000}"/>
    <cellStyle name="Note 2 3 4 3 2" xfId="14175" xr:uid="{51BE4777-D228-4B1F-BDE7-E5BA59DA4ECF}"/>
    <cellStyle name="Note 2 3 4 4" xfId="9957" xr:uid="{DE9B0B45-D206-4858-AFDB-9A82B1D2516E}"/>
    <cellStyle name="Note 2 3 5" xfId="1839" xr:uid="{00000000-0005-0000-0000-00000E210000}"/>
    <cellStyle name="Note 2 3 5 2" xfId="4068" xr:uid="{00000000-0005-0000-0000-00000F210000}"/>
    <cellStyle name="Note 2 3 5 2 2" xfId="8291" xr:uid="{00000000-0005-0000-0000-000010210000}"/>
    <cellStyle name="Note 2 3 5 2 2 2" xfId="16733" xr:uid="{9AFE9123-3D54-4CC1-A218-F0150284B2AB}"/>
    <cellStyle name="Note 2 3 5 2 3" xfId="12515" xr:uid="{343A4F58-50EE-4B7C-931C-2F2EAAB76E7B}"/>
    <cellStyle name="Note 2 3 5 3" xfId="6146" xr:uid="{00000000-0005-0000-0000-000011210000}"/>
    <cellStyle name="Note 2 3 5 3 2" xfId="14588" xr:uid="{A647C5CB-84E3-48EB-AE04-E83BEA54B889}"/>
    <cellStyle name="Note 2 3 5 4" xfId="10370" xr:uid="{72B86272-6843-4308-BCA8-F190BD86BD4F}"/>
    <cellStyle name="Note 2 3 6" xfId="2252" xr:uid="{00000000-0005-0000-0000-000012210000}"/>
    <cellStyle name="Note 2 3 6 2" xfId="4481" xr:uid="{00000000-0005-0000-0000-000013210000}"/>
    <cellStyle name="Note 2 3 6 2 2" xfId="8704" xr:uid="{00000000-0005-0000-0000-000014210000}"/>
    <cellStyle name="Note 2 3 6 2 2 2" xfId="17146" xr:uid="{E7F4B284-1072-4829-AD68-320F9D961535}"/>
    <cellStyle name="Note 2 3 6 2 3" xfId="12928" xr:uid="{EE0536D1-C15E-49B7-BD9A-B2ECE772B128}"/>
    <cellStyle name="Note 2 3 6 3" xfId="6559" xr:uid="{00000000-0005-0000-0000-000015210000}"/>
    <cellStyle name="Note 2 3 6 3 2" xfId="15001" xr:uid="{8AB11034-257D-4A3B-B601-84D067A14EC2}"/>
    <cellStyle name="Note 2 3 6 4" xfId="10783" xr:uid="{B8DFDF32-5E48-41D8-9AE2-D136F56D221F}"/>
    <cellStyle name="Note 2 3 7" xfId="2688" xr:uid="{00000000-0005-0000-0000-000016210000}"/>
    <cellStyle name="Note 2 3 7 2" xfId="6972" xr:uid="{00000000-0005-0000-0000-000017210000}"/>
    <cellStyle name="Note 2 3 7 2 2" xfId="15414" xr:uid="{E4E1A82A-8A3A-4FFD-8DA5-90400C4624D2}"/>
    <cellStyle name="Note 2 3 7 3" xfId="11196" xr:uid="{764B8F98-448A-45B9-AF18-AA2FABFC395B}"/>
    <cellStyle name="Note 2 3 8" xfId="2747" xr:uid="{00000000-0005-0000-0000-000018210000}"/>
    <cellStyle name="Note 2 3 9" xfId="2828" xr:uid="{00000000-0005-0000-0000-000019210000}"/>
    <cellStyle name="Note 2 3 9 2" xfId="7052" xr:uid="{00000000-0005-0000-0000-00001A210000}"/>
    <cellStyle name="Note 2 3 9 2 2" xfId="15494" xr:uid="{C2B3ACF5-3443-4C36-87B2-79A331018084}"/>
    <cellStyle name="Note 2 3 9 3" xfId="11276" xr:uid="{E4DB6AF3-81EE-410B-A9C8-0E9A11AFE2E5}"/>
    <cellStyle name="Note 2 4" xfId="551" xr:uid="{00000000-0005-0000-0000-00001B210000}"/>
    <cellStyle name="Note 2 4 10" xfId="9133" xr:uid="{54E787AB-B23E-4937-BE00-E1E796D0A2FD}"/>
    <cellStyle name="Note 2 4 2" xfId="1012" xr:uid="{00000000-0005-0000-0000-00001C210000}"/>
    <cellStyle name="Note 2 4 2 2" xfId="3244" xr:uid="{00000000-0005-0000-0000-00001D210000}"/>
    <cellStyle name="Note 2 4 2 2 2" xfId="7467" xr:uid="{00000000-0005-0000-0000-00001E210000}"/>
    <cellStyle name="Note 2 4 2 2 2 2" xfId="15909" xr:uid="{83C1FBC5-8298-48E3-9AA1-A47AF5BAB3F3}"/>
    <cellStyle name="Note 2 4 2 2 3" xfId="11691" xr:uid="{E8A8E806-EF5E-4835-86CF-4D7500D49895}"/>
    <cellStyle name="Note 2 4 2 3" xfId="5322" xr:uid="{00000000-0005-0000-0000-00001F210000}"/>
    <cellStyle name="Note 2 4 2 3 2" xfId="13764" xr:uid="{CD496E80-D08D-4C24-9926-3C29BEDE4B66}"/>
    <cellStyle name="Note 2 4 2 4" xfId="9546" xr:uid="{2835EDFB-D911-4AA8-84F3-A5F37ECA3A06}"/>
    <cellStyle name="Note 2 4 3" xfId="1427" xr:uid="{00000000-0005-0000-0000-000020210000}"/>
    <cellStyle name="Note 2 4 3 2" xfId="3657" xr:uid="{00000000-0005-0000-0000-000021210000}"/>
    <cellStyle name="Note 2 4 3 2 2" xfId="7880" xr:uid="{00000000-0005-0000-0000-000022210000}"/>
    <cellStyle name="Note 2 4 3 2 2 2" xfId="16322" xr:uid="{46D0C188-4355-477D-A291-BCFFD890D35F}"/>
    <cellStyle name="Note 2 4 3 2 3" xfId="12104" xr:uid="{4D0CBE41-00A1-42C9-ACCA-03A5C77A0350}"/>
    <cellStyle name="Note 2 4 3 3" xfId="5735" xr:uid="{00000000-0005-0000-0000-000023210000}"/>
    <cellStyle name="Note 2 4 3 3 2" xfId="14177" xr:uid="{D855546B-E100-4634-9F0E-61F2EDDB74E4}"/>
    <cellStyle name="Note 2 4 3 4" xfId="9959" xr:uid="{4239D382-2BCA-4C23-A1D4-8F6F0871D7C0}"/>
    <cellStyle name="Note 2 4 4" xfId="1841" xr:uid="{00000000-0005-0000-0000-000024210000}"/>
    <cellStyle name="Note 2 4 4 2" xfId="4070" xr:uid="{00000000-0005-0000-0000-000025210000}"/>
    <cellStyle name="Note 2 4 4 2 2" xfId="8293" xr:uid="{00000000-0005-0000-0000-000026210000}"/>
    <cellStyle name="Note 2 4 4 2 2 2" xfId="16735" xr:uid="{266246AB-3814-4B06-A59D-1316785B67DC}"/>
    <cellStyle name="Note 2 4 4 2 3" xfId="12517" xr:uid="{45D4D1CF-7562-4164-A890-C3B23E2D9536}"/>
    <cellStyle name="Note 2 4 4 3" xfId="6148" xr:uid="{00000000-0005-0000-0000-000027210000}"/>
    <cellStyle name="Note 2 4 4 3 2" xfId="14590" xr:uid="{34D9D0AF-A10C-43BA-89E6-8B9F0806DA9F}"/>
    <cellStyle name="Note 2 4 4 4" xfId="10372" xr:uid="{7E9283A1-A81D-401D-B7B1-A6405AD23426}"/>
    <cellStyle name="Note 2 4 5" xfId="2254" xr:uid="{00000000-0005-0000-0000-000028210000}"/>
    <cellStyle name="Note 2 4 5 2" xfId="4483" xr:uid="{00000000-0005-0000-0000-000029210000}"/>
    <cellStyle name="Note 2 4 5 2 2" xfId="8706" xr:uid="{00000000-0005-0000-0000-00002A210000}"/>
    <cellStyle name="Note 2 4 5 2 2 2" xfId="17148" xr:uid="{811338FF-9A29-497D-8001-96CB17C77B06}"/>
    <cellStyle name="Note 2 4 5 2 3" xfId="12930" xr:uid="{3754BCE3-56F8-4360-A9D7-44AE21F41523}"/>
    <cellStyle name="Note 2 4 5 3" xfId="6561" xr:uid="{00000000-0005-0000-0000-00002B210000}"/>
    <cellStyle name="Note 2 4 5 3 2" xfId="15003" xr:uid="{0981A360-B600-4B9E-9964-5FB76F9D9B4E}"/>
    <cellStyle name="Note 2 4 5 4" xfId="10785" xr:uid="{5F7FCF0C-7039-49BB-B774-9C87AB8B6333}"/>
    <cellStyle name="Note 2 4 6" xfId="2690" xr:uid="{00000000-0005-0000-0000-00002C210000}"/>
    <cellStyle name="Note 2 4 6 2" xfId="6974" xr:uid="{00000000-0005-0000-0000-00002D210000}"/>
    <cellStyle name="Note 2 4 6 2 2" xfId="15416" xr:uid="{258E39FF-CD63-4D6E-86CB-92A52BC9B2DC}"/>
    <cellStyle name="Note 2 4 6 3" xfId="11198" xr:uid="{FAE3A573-936B-4A45-AECA-1D9D490118DB}"/>
    <cellStyle name="Note 2 4 7" xfId="2749" xr:uid="{00000000-0005-0000-0000-00002E210000}"/>
    <cellStyle name="Note 2 4 8" xfId="2830" xr:uid="{00000000-0005-0000-0000-00002F210000}"/>
    <cellStyle name="Note 2 4 8 2" xfId="7054" xr:uid="{00000000-0005-0000-0000-000030210000}"/>
    <cellStyle name="Note 2 4 8 2 2" xfId="15496" xr:uid="{A9B2A5D2-31D9-47DE-A96C-C3F6492F129A}"/>
    <cellStyle name="Note 2 4 8 3" xfId="11278" xr:uid="{D468EDE6-666B-4127-8CFC-D376BE461740}"/>
    <cellStyle name="Note 2 4 9" xfId="4909" xr:uid="{00000000-0005-0000-0000-000031210000}"/>
    <cellStyle name="Note 2 4 9 2" xfId="13351" xr:uid="{E2555563-1A9F-405F-B6A4-EDBD4170BC88}"/>
    <cellStyle name="Note 2 5" xfId="552" xr:uid="{00000000-0005-0000-0000-000032210000}"/>
    <cellStyle name="Note 2 5 10" xfId="9134" xr:uid="{E188F487-7A2A-475F-80EA-32547610AD5D}"/>
    <cellStyle name="Note 2 5 2" xfId="1013" xr:uid="{00000000-0005-0000-0000-000033210000}"/>
    <cellStyle name="Note 2 5 2 2" xfId="3245" xr:uid="{00000000-0005-0000-0000-000034210000}"/>
    <cellStyle name="Note 2 5 2 2 2" xfId="7468" xr:uid="{00000000-0005-0000-0000-000035210000}"/>
    <cellStyle name="Note 2 5 2 2 2 2" xfId="15910" xr:uid="{D16A3704-4735-490D-8729-C99265CF8B7D}"/>
    <cellStyle name="Note 2 5 2 2 3" xfId="11692" xr:uid="{9E299B7F-F316-49CC-AF86-688C31DC7011}"/>
    <cellStyle name="Note 2 5 2 3" xfId="5323" xr:uid="{00000000-0005-0000-0000-000036210000}"/>
    <cellStyle name="Note 2 5 2 3 2" xfId="13765" xr:uid="{CA92440A-2B14-41FC-BC9A-183928C7A90F}"/>
    <cellStyle name="Note 2 5 2 4" xfId="9547" xr:uid="{B3974753-41B9-4316-B24F-6B0B46C11723}"/>
    <cellStyle name="Note 2 5 3" xfId="1428" xr:uid="{00000000-0005-0000-0000-000037210000}"/>
    <cellStyle name="Note 2 5 3 2" xfId="3658" xr:uid="{00000000-0005-0000-0000-000038210000}"/>
    <cellStyle name="Note 2 5 3 2 2" xfId="7881" xr:uid="{00000000-0005-0000-0000-000039210000}"/>
    <cellStyle name="Note 2 5 3 2 2 2" xfId="16323" xr:uid="{712D87D9-F3D8-4708-98AA-1316AEF53C43}"/>
    <cellStyle name="Note 2 5 3 2 3" xfId="12105" xr:uid="{D51A12F2-436C-4420-8E92-4CB53CB3DE7D}"/>
    <cellStyle name="Note 2 5 3 3" xfId="5736" xr:uid="{00000000-0005-0000-0000-00003A210000}"/>
    <cellStyle name="Note 2 5 3 3 2" xfId="14178" xr:uid="{4E741C7C-5560-406B-ADD3-CD7D31542783}"/>
    <cellStyle name="Note 2 5 3 4" xfId="9960" xr:uid="{5664DBD5-1E3E-4E16-9856-3FEA7248C913}"/>
    <cellStyle name="Note 2 5 4" xfId="1842" xr:uid="{00000000-0005-0000-0000-00003B210000}"/>
    <cellStyle name="Note 2 5 4 2" xfId="4071" xr:uid="{00000000-0005-0000-0000-00003C210000}"/>
    <cellStyle name="Note 2 5 4 2 2" xfId="8294" xr:uid="{00000000-0005-0000-0000-00003D210000}"/>
    <cellStyle name="Note 2 5 4 2 2 2" xfId="16736" xr:uid="{30DC111C-60AA-4AB7-B7A0-F6736840E8F3}"/>
    <cellStyle name="Note 2 5 4 2 3" xfId="12518" xr:uid="{D31FBEE0-1A7D-421D-AF4D-B5604130C16C}"/>
    <cellStyle name="Note 2 5 4 3" xfId="6149" xr:uid="{00000000-0005-0000-0000-00003E210000}"/>
    <cellStyle name="Note 2 5 4 3 2" xfId="14591" xr:uid="{C9AFA016-7FE3-47BE-A6BC-22FE03548AB7}"/>
    <cellStyle name="Note 2 5 4 4" xfId="10373" xr:uid="{EC4F1B57-7E87-43A0-A93D-127351AF19F5}"/>
    <cellStyle name="Note 2 5 5" xfId="2255" xr:uid="{00000000-0005-0000-0000-00003F210000}"/>
    <cellStyle name="Note 2 5 5 2" xfId="4484" xr:uid="{00000000-0005-0000-0000-000040210000}"/>
    <cellStyle name="Note 2 5 5 2 2" xfId="8707" xr:uid="{00000000-0005-0000-0000-000041210000}"/>
    <cellStyle name="Note 2 5 5 2 2 2" xfId="17149" xr:uid="{BFD294D5-F77A-4406-A9C2-2ECA3F0671B4}"/>
    <cellStyle name="Note 2 5 5 2 3" xfId="12931" xr:uid="{0725534A-6453-4287-9E51-2A0C246FF82E}"/>
    <cellStyle name="Note 2 5 5 3" xfId="6562" xr:uid="{00000000-0005-0000-0000-000042210000}"/>
    <cellStyle name="Note 2 5 5 3 2" xfId="15004" xr:uid="{C39E3B23-7A58-49AB-9A6B-836F2E940542}"/>
    <cellStyle name="Note 2 5 5 4" xfId="10786" xr:uid="{F786C8A1-B937-4104-A370-595FFC69D49D}"/>
    <cellStyle name="Note 2 5 6" xfId="2691" xr:uid="{00000000-0005-0000-0000-000043210000}"/>
    <cellStyle name="Note 2 5 6 2" xfId="6975" xr:uid="{00000000-0005-0000-0000-000044210000}"/>
    <cellStyle name="Note 2 5 6 2 2" xfId="15417" xr:uid="{58D16340-2A00-4E54-8BBE-B778B7322F15}"/>
    <cellStyle name="Note 2 5 6 3" xfId="11199" xr:uid="{9DD31EC5-6EFE-41D8-BFC0-065275983136}"/>
    <cellStyle name="Note 2 5 7" xfId="2750" xr:uid="{00000000-0005-0000-0000-000045210000}"/>
    <cellStyle name="Note 2 5 8" xfId="2831" xr:uid="{00000000-0005-0000-0000-000046210000}"/>
    <cellStyle name="Note 2 5 8 2" xfId="7055" xr:uid="{00000000-0005-0000-0000-000047210000}"/>
    <cellStyle name="Note 2 5 8 2 2" xfId="15497" xr:uid="{840EEDB5-A3B7-44A3-92BC-E4770E5B9A13}"/>
    <cellStyle name="Note 2 5 8 3" xfId="11279" xr:uid="{1444C7C5-182C-43A9-9474-3E566C3084D2}"/>
    <cellStyle name="Note 2 5 9" xfId="4910" xr:uid="{00000000-0005-0000-0000-000048210000}"/>
    <cellStyle name="Note 2 5 9 2" xfId="13352" xr:uid="{30BE9E7B-75E7-4354-B03F-4BFE35F5CA12}"/>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E2B7A1A6-B8AB-4F8D-A019-23CBF23A051F}"/>
    <cellStyle name="Note 3 2 10 3" xfId="11280" xr:uid="{93B0E8A4-10A0-4F26-A2E5-DB7B86551CF8}"/>
    <cellStyle name="Note 3 2 11" xfId="4911" xr:uid="{00000000-0005-0000-0000-00004D210000}"/>
    <cellStyle name="Note 3 2 11 2" xfId="13353" xr:uid="{5A8B5491-0141-494E-8184-3BA98F08109D}"/>
    <cellStyle name="Note 3 2 12" xfId="9135" xr:uid="{FBD783CB-F0A7-4018-A751-07EE528BF530}"/>
    <cellStyle name="Note 3 2 2" xfId="555" xr:uid="{00000000-0005-0000-0000-00004E210000}"/>
    <cellStyle name="Note 3 2 2 10" xfId="4912" xr:uid="{00000000-0005-0000-0000-00004F210000}"/>
    <cellStyle name="Note 3 2 2 10 2" xfId="13354" xr:uid="{ADA67745-9271-40F5-B046-A20681278406}"/>
    <cellStyle name="Note 3 2 2 11" xfId="9136" xr:uid="{1E037ED7-85E9-4A98-80EF-3C849C057241}"/>
    <cellStyle name="Note 3 2 2 2" xfId="556" xr:uid="{00000000-0005-0000-0000-000050210000}"/>
    <cellStyle name="Note 3 2 2 2 10" xfId="9137" xr:uid="{54E966CE-A037-48A6-AFDB-03D8F25CAE10}"/>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4DBF593A-A9A1-47C7-9398-2FFF385A0D3D}"/>
    <cellStyle name="Note 3 2 2 2 2 2 3" xfId="11695" xr:uid="{2FFE3648-01C6-45E7-BD60-7C6AC24ACCDE}"/>
    <cellStyle name="Note 3 2 2 2 2 3" xfId="5326" xr:uid="{00000000-0005-0000-0000-000054210000}"/>
    <cellStyle name="Note 3 2 2 2 2 3 2" xfId="13768" xr:uid="{CAFD09B4-730D-481D-A549-5E19AB33AE2E}"/>
    <cellStyle name="Note 3 2 2 2 2 4" xfId="9550" xr:uid="{1EE638B9-AE0B-4464-9098-0E1152A1299B}"/>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9156EF2E-564D-441E-A3AC-05F8AE23848C}"/>
    <cellStyle name="Note 3 2 2 2 3 2 3" xfId="12108" xr:uid="{452EC98F-D21F-474B-9D77-84146964E1C7}"/>
    <cellStyle name="Note 3 2 2 2 3 3" xfId="5739" xr:uid="{00000000-0005-0000-0000-000058210000}"/>
    <cellStyle name="Note 3 2 2 2 3 3 2" xfId="14181" xr:uid="{FB917DF2-B6A9-43F5-BC17-8869FE6D6381}"/>
    <cellStyle name="Note 3 2 2 2 3 4" xfId="9963" xr:uid="{46F80A32-305F-4628-9A03-C8E5F06456D7}"/>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0F0C4AB0-3F72-43C9-B001-0EA5E27F3F88}"/>
    <cellStyle name="Note 3 2 2 2 4 2 3" xfId="12521" xr:uid="{BBAEBAAC-1273-4D03-A230-B47CAF00D4D8}"/>
    <cellStyle name="Note 3 2 2 2 4 3" xfId="6152" xr:uid="{00000000-0005-0000-0000-00005C210000}"/>
    <cellStyle name="Note 3 2 2 2 4 3 2" xfId="14594" xr:uid="{D64E6738-1EBA-4357-AFD5-2DDEAC7647E3}"/>
    <cellStyle name="Note 3 2 2 2 4 4" xfId="10376" xr:uid="{261EF2A4-81E8-4BC6-A0BF-878B6CB03414}"/>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5D7B5E35-0FD2-47A8-9F0D-002EE8C91531}"/>
    <cellStyle name="Note 3 2 2 2 5 2 3" xfId="12934" xr:uid="{3390BC14-F363-465C-8EF8-E32CC911496E}"/>
    <cellStyle name="Note 3 2 2 2 5 3" xfId="6565" xr:uid="{00000000-0005-0000-0000-000060210000}"/>
    <cellStyle name="Note 3 2 2 2 5 3 2" xfId="15007" xr:uid="{32E62F4B-EEC6-4EBA-8396-C2B27E24D5DA}"/>
    <cellStyle name="Note 3 2 2 2 5 4" xfId="10789" xr:uid="{B2F7803A-BC56-4668-8058-0585BB725758}"/>
    <cellStyle name="Note 3 2 2 2 6" xfId="2694" xr:uid="{00000000-0005-0000-0000-000061210000}"/>
    <cellStyle name="Note 3 2 2 2 6 2" xfId="6978" xr:uid="{00000000-0005-0000-0000-000062210000}"/>
    <cellStyle name="Note 3 2 2 2 6 2 2" xfId="15420" xr:uid="{639873AD-EA3D-47A1-B500-AFDCB18A3913}"/>
    <cellStyle name="Note 3 2 2 2 6 3" xfId="11202" xr:uid="{5802870B-4681-4932-9077-A4F171463084}"/>
    <cellStyle name="Note 3 2 2 2 7" xfId="2753" xr:uid="{00000000-0005-0000-0000-000063210000}"/>
    <cellStyle name="Note 3 2 2 2 8" xfId="2834" xr:uid="{00000000-0005-0000-0000-000064210000}"/>
    <cellStyle name="Note 3 2 2 2 8 2" xfId="7058" xr:uid="{00000000-0005-0000-0000-000065210000}"/>
    <cellStyle name="Note 3 2 2 2 8 2 2" xfId="15500" xr:uid="{772156E3-3AEB-41A3-BA62-553D6B0FA853}"/>
    <cellStyle name="Note 3 2 2 2 8 3" xfId="11282" xr:uid="{E16FA900-F279-4AF1-A76F-A9BC8A6A5BD9}"/>
    <cellStyle name="Note 3 2 2 2 9" xfId="4913" xr:uid="{00000000-0005-0000-0000-000066210000}"/>
    <cellStyle name="Note 3 2 2 2 9 2" xfId="13355" xr:uid="{4CA21861-8ABE-4ABA-8E2A-14C6FF48AB39}"/>
    <cellStyle name="Note 3 2 2 3" xfId="1015" xr:uid="{00000000-0005-0000-0000-000067210000}"/>
    <cellStyle name="Note 3 2 2 3 2" xfId="3247" xr:uid="{00000000-0005-0000-0000-000068210000}"/>
    <cellStyle name="Note 3 2 2 3 2 2" xfId="7470" xr:uid="{00000000-0005-0000-0000-000069210000}"/>
    <cellStyle name="Note 3 2 2 3 2 2 2" xfId="15912" xr:uid="{0A8D0D5B-6384-4110-9D62-BB018F3B2CA6}"/>
    <cellStyle name="Note 3 2 2 3 2 3" xfId="11694" xr:uid="{9EA3741D-FDFE-47A0-BE07-59779DD39F97}"/>
    <cellStyle name="Note 3 2 2 3 3" xfId="5325" xr:uid="{00000000-0005-0000-0000-00006A210000}"/>
    <cellStyle name="Note 3 2 2 3 3 2" xfId="13767" xr:uid="{96BA76BD-9EC1-4E25-AF56-BF9F79F4657F}"/>
    <cellStyle name="Note 3 2 2 3 4" xfId="9549" xr:uid="{FBF64ECA-1F31-4B34-9832-791CD5CB8531}"/>
    <cellStyle name="Note 3 2 2 4" xfId="1430" xr:uid="{00000000-0005-0000-0000-00006B210000}"/>
    <cellStyle name="Note 3 2 2 4 2" xfId="3660" xr:uid="{00000000-0005-0000-0000-00006C210000}"/>
    <cellStyle name="Note 3 2 2 4 2 2" xfId="7883" xr:uid="{00000000-0005-0000-0000-00006D210000}"/>
    <cellStyle name="Note 3 2 2 4 2 2 2" xfId="16325" xr:uid="{9FD57736-490A-4444-B762-FEB73BF1404A}"/>
    <cellStyle name="Note 3 2 2 4 2 3" xfId="12107" xr:uid="{1B73C7D8-C446-4BC5-A98C-B208B681CA19}"/>
    <cellStyle name="Note 3 2 2 4 3" xfId="5738" xr:uid="{00000000-0005-0000-0000-00006E210000}"/>
    <cellStyle name="Note 3 2 2 4 3 2" xfId="14180" xr:uid="{67EAD610-C81C-4BC0-BE8D-9DA885ACD2E8}"/>
    <cellStyle name="Note 3 2 2 4 4" xfId="9962" xr:uid="{56476C2A-0708-4E0B-9561-041B88F431CF}"/>
    <cellStyle name="Note 3 2 2 5" xfId="1844" xr:uid="{00000000-0005-0000-0000-00006F210000}"/>
    <cellStyle name="Note 3 2 2 5 2" xfId="4073" xr:uid="{00000000-0005-0000-0000-000070210000}"/>
    <cellStyle name="Note 3 2 2 5 2 2" xfId="8296" xr:uid="{00000000-0005-0000-0000-000071210000}"/>
    <cellStyle name="Note 3 2 2 5 2 2 2" xfId="16738" xr:uid="{1E34BD44-FEC3-4B07-8C68-20FDD0322062}"/>
    <cellStyle name="Note 3 2 2 5 2 3" xfId="12520" xr:uid="{3527AD17-B7EA-4F92-B987-B7D865A0F08E}"/>
    <cellStyle name="Note 3 2 2 5 3" xfId="6151" xr:uid="{00000000-0005-0000-0000-000072210000}"/>
    <cellStyle name="Note 3 2 2 5 3 2" xfId="14593" xr:uid="{7D693D99-BA1E-44CD-9A85-5C30AC4C7D26}"/>
    <cellStyle name="Note 3 2 2 5 4" xfId="10375" xr:uid="{A5ABB1A9-AB06-465B-8264-8F3683AE5291}"/>
    <cellStyle name="Note 3 2 2 6" xfId="2257" xr:uid="{00000000-0005-0000-0000-000073210000}"/>
    <cellStyle name="Note 3 2 2 6 2" xfId="4486" xr:uid="{00000000-0005-0000-0000-000074210000}"/>
    <cellStyle name="Note 3 2 2 6 2 2" xfId="8709" xr:uid="{00000000-0005-0000-0000-000075210000}"/>
    <cellStyle name="Note 3 2 2 6 2 2 2" xfId="17151" xr:uid="{81E01B2E-7792-491F-9100-78E61A4BFD6A}"/>
    <cellStyle name="Note 3 2 2 6 2 3" xfId="12933" xr:uid="{926AA9A3-2B3E-4F1A-8108-55EA9FCDF284}"/>
    <cellStyle name="Note 3 2 2 6 3" xfId="6564" xr:uid="{00000000-0005-0000-0000-000076210000}"/>
    <cellStyle name="Note 3 2 2 6 3 2" xfId="15006" xr:uid="{426BC196-CB03-4883-BB1E-A097DDDDC602}"/>
    <cellStyle name="Note 3 2 2 6 4" xfId="10788" xr:uid="{55F61A03-C800-4B63-9277-4BE82A822AB3}"/>
    <cellStyle name="Note 3 2 2 7" xfId="2693" xr:uid="{00000000-0005-0000-0000-000077210000}"/>
    <cellStyle name="Note 3 2 2 7 2" xfId="6977" xr:uid="{00000000-0005-0000-0000-000078210000}"/>
    <cellStyle name="Note 3 2 2 7 2 2" xfId="15419" xr:uid="{431EB088-C4D3-43D6-B80B-56F8A70E0155}"/>
    <cellStyle name="Note 3 2 2 7 3" xfId="11201" xr:uid="{549E36F0-FCE2-4D6A-B5CE-A26660A7FE63}"/>
    <cellStyle name="Note 3 2 2 8" xfId="2752" xr:uid="{00000000-0005-0000-0000-000079210000}"/>
    <cellStyle name="Note 3 2 2 9" xfId="2833" xr:uid="{00000000-0005-0000-0000-00007A210000}"/>
    <cellStyle name="Note 3 2 2 9 2" xfId="7057" xr:uid="{00000000-0005-0000-0000-00007B210000}"/>
    <cellStyle name="Note 3 2 2 9 2 2" xfId="15499" xr:uid="{DEF188D5-A991-4479-B52F-A46A168CF826}"/>
    <cellStyle name="Note 3 2 2 9 3" xfId="11281" xr:uid="{240D60EE-90AC-47C3-A84B-CFAB83AC1471}"/>
    <cellStyle name="Note 3 2 3" xfId="557" xr:uid="{00000000-0005-0000-0000-00007C210000}"/>
    <cellStyle name="Note 3 2 3 10" xfId="9138" xr:uid="{2648C5D1-2DE6-4D3B-AB6A-7D6954849877}"/>
    <cellStyle name="Note 3 2 3 2" xfId="1017" xr:uid="{00000000-0005-0000-0000-00007D210000}"/>
    <cellStyle name="Note 3 2 3 2 2" xfId="3249" xr:uid="{00000000-0005-0000-0000-00007E210000}"/>
    <cellStyle name="Note 3 2 3 2 2 2" xfId="7472" xr:uid="{00000000-0005-0000-0000-00007F210000}"/>
    <cellStyle name="Note 3 2 3 2 2 2 2" xfId="15914" xr:uid="{57B494F3-766F-4BD5-A037-EB9A0B43F394}"/>
    <cellStyle name="Note 3 2 3 2 2 3" xfId="11696" xr:uid="{5CA5EE46-EE53-4AA2-94A7-53D17D9EDAD3}"/>
    <cellStyle name="Note 3 2 3 2 3" xfId="5327" xr:uid="{00000000-0005-0000-0000-000080210000}"/>
    <cellStyle name="Note 3 2 3 2 3 2" xfId="13769" xr:uid="{D2FF526C-78BD-4ACE-8571-4E5E5C439474}"/>
    <cellStyle name="Note 3 2 3 2 4" xfId="9551" xr:uid="{1B17FDAB-8AE2-46FB-9F4F-D95F77D66C10}"/>
    <cellStyle name="Note 3 2 3 3" xfId="1432" xr:uid="{00000000-0005-0000-0000-000081210000}"/>
    <cellStyle name="Note 3 2 3 3 2" xfId="3662" xr:uid="{00000000-0005-0000-0000-000082210000}"/>
    <cellStyle name="Note 3 2 3 3 2 2" xfId="7885" xr:uid="{00000000-0005-0000-0000-000083210000}"/>
    <cellStyle name="Note 3 2 3 3 2 2 2" xfId="16327" xr:uid="{C41C68DA-0C65-46B5-BAD3-CD6C28CFEBA5}"/>
    <cellStyle name="Note 3 2 3 3 2 3" xfId="12109" xr:uid="{FA8A1355-A38D-4D8E-ADDC-B8B20DFC220F}"/>
    <cellStyle name="Note 3 2 3 3 3" xfId="5740" xr:uid="{00000000-0005-0000-0000-000084210000}"/>
    <cellStyle name="Note 3 2 3 3 3 2" xfId="14182" xr:uid="{344DD50C-CE71-4EC9-AF18-4C6EE2B06B57}"/>
    <cellStyle name="Note 3 2 3 3 4" xfId="9964" xr:uid="{44286DC1-DE61-4C24-9D08-9BDA6F7C86E2}"/>
    <cellStyle name="Note 3 2 3 4" xfId="1846" xr:uid="{00000000-0005-0000-0000-000085210000}"/>
    <cellStyle name="Note 3 2 3 4 2" xfId="4075" xr:uid="{00000000-0005-0000-0000-000086210000}"/>
    <cellStyle name="Note 3 2 3 4 2 2" xfId="8298" xr:uid="{00000000-0005-0000-0000-000087210000}"/>
    <cellStyle name="Note 3 2 3 4 2 2 2" xfId="16740" xr:uid="{A277AC9A-64C5-4CD2-BB8F-8C0BC2BA9104}"/>
    <cellStyle name="Note 3 2 3 4 2 3" xfId="12522" xr:uid="{D63F8DCC-E5D1-4074-84F1-212E60710FFD}"/>
    <cellStyle name="Note 3 2 3 4 3" xfId="6153" xr:uid="{00000000-0005-0000-0000-000088210000}"/>
    <cellStyle name="Note 3 2 3 4 3 2" xfId="14595" xr:uid="{17ED3A4E-E0FC-4E77-89EF-DA77EF711EB9}"/>
    <cellStyle name="Note 3 2 3 4 4" xfId="10377" xr:uid="{3338EACC-C968-49CD-977D-5FB7C440B6A2}"/>
    <cellStyle name="Note 3 2 3 5" xfId="2259" xr:uid="{00000000-0005-0000-0000-000089210000}"/>
    <cellStyle name="Note 3 2 3 5 2" xfId="4488" xr:uid="{00000000-0005-0000-0000-00008A210000}"/>
    <cellStyle name="Note 3 2 3 5 2 2" xfId="8711" xr:uid="{00000000-0005-0000-0000-00008B210000}"/>
    <cellStyle name="Note 3 2 3 5 2 2 2" xfId="17153" xr:uid="{FBE3DCFD-BB48-48DC-AFF5-9B48D4B0B4E6}"/>
    <cellStyle name="Note 3 2 3 5 2 3" xfId="12935" xr:uid="{FFA40863-8C04-4DE2-A10E-7B549435A315}"/>
    <cellStyle name="Note 3 2 3 5 3" xfId="6566" xr:uid="{00000000-0005-0000-0000-00008C210000}"/>
    <cellStyle name="Note 3 2 3 5 3 2" xfId="15008" xr:uid="{F109BD1B-C1A2-4CA4-A56A-E9E9D4F51308}"/>
    <cellStyle name="Note 3 2 3 5 4" xfId="10790" xr:uid="{225CCE71-ED30-4AFD-84AD-F2A816AC71DA}"/>
    <cellStyle name="Note 3 2 3 6" xfId="2695" xr:uid="{00000000-0005-0000-0000-00008D210000}"/>
    <cellStyle name="Note 3 2 3 6 2" xfId="6979" xr:uid="{00000000-0005-0000-0000-00008E210000}"/>
    <cellStyle name="Note 3 2 3 6 2 2" xfId="15421" xr:uid="{4543EDF6-0F40-4FA6-91A3-1D0B8866F351}"/>
    <cellStyle name="Note 3 2 3 6 3" xfId="11203" xr:uid="{8B6CC6AD-C197-4E15-9E8C-FD82ED6E9C1C}"/>
    <cellStyle name="Note 3 2 3 7" xfId="2754" xr:uid="{00000000-0005-0000-0000-00008F210000}"/>
    <cellStyle name="Note 3 2 3 8" xfId="2835" xr:uid="{00000000-0005-0000-0000-000090210000}"/>
    <cellStyle name="Note 3 2 3 8 2" xfId="7059" xr:uid="{00000000-0005-0000-0000-000091210000}"/>
    <cellStyle name="Note 3 2 3 8 2 2" xfId="15501" xr:uid="{117F1706-882C-4E3A-87C5-CAFF8C91ED74}"/>
    <cellStyle name="Note 3 2 3 8 3" xfId="11283" xr:uid="{6A99D834-C555-482E-A2C5-D9D17C45BAC2}"/>
    <cellStyle name="Note 3 2 3 9" xfId="4914" xr:uid="{00000000-0005-0000-0000-000092210000}"/>
    <cellStyle name="Note 3 2 3 9 2" xfId="13356" xr:uid="{C96FAB43-D175-48CB-A166-9910F588E0FC}"/>
    <cellStyle name="Note 3 2 4" xfId="1014" xr:uid="{00000000-0005-0000-0000-000093210000}"/>
    <cellStyle name="Note 3 2 4 2" xfId="3246" xr:uid="{00000000-0005-0000-0000-000094210000}"/>
    <cellStyle name="Note 3 2 4 2 2" xfId="7469" xr:uid="{00000000-0005-0000-0000-000095210000}"/>
    <cellStyle name="Note 3 2 4 2 2 2" xfId="15911" xr:uid="{8D0824D7-4F97-4AD9-B137-2BB8DC9AA1CE}"/>
    <cellStyle name="Note 3 2 4 2 3" xfId="11693" xr:uid="{CF800338-569A-4E4A-BC97-57E7E97D87AE}"/>
    <cellStyle name="Note 3 2 4 3" xfId="5324" xr:uid="{00000000-0005-0000-0000-000096210000}"/>
    <cellStyle name="Note 3 2 4 3 2" xfId="13766" xr:uid="{CB31A027-5CAB-4580-BF5A-FFF66E10BE5B}"/>
    <cellStyle name="Note 3 2 4 4" xfId="9548" xr:uid="{93A18067-D09F-48D8-9C7C-CA378D43E584}"/>
    <cellStyle name="Note 3 2 5" xfId="1429" xr:uid="{00000000-0005-0000-0000-000097210000}"/>
    <cellStyle name="Note 3 2 5 2" xfId="3659" xr:uid="{00000000-0005-0000-0000-000098210000}"/>
    <cellStyle name="Note 3 2 5 2 2" xfId="7882" xr:uid="{00000000-0005-0000-0000-000099210000}"/>
    <cellStyle name="Note 3 2 5 2 2 2" xfId="16324" xr:uid="{0C7D9B01-20FC-4DBD-BC9C-77E8767E1E0F}"/>
    <cellStyle name="Note 3 2 5 2 3" xfId="12106" xr:uid="{2A0F247A-FA48-4E64-9DD3-8C49E2DA02A2}"/>
    <cellStyle name="Note 3 2 5 3" xfId="5737" xr:uid="{00000000-0005-0000-0000-00009A210000}"/>
    <cellStyle name="Note 3 2 5 3 2" xfId="14179" xr:uid="{29BC4CDB-19A6-4F53-9412-9A7C70228E34}"/>
    <cellStyle name="Note 3 2 5 4" xfId="9961" xr:uid="{F745D38A-B24C-491F-8519-2F5635492BCF}"/>
    <cellStyle name="Note 3 2 6" xfId="1843" xr:uid="{00000000-0005-0000-0000-00009B210000}"/>
    <cellStyle name="Note 3 2 6 2" xfId="4072" xr:uid="{00000000-0005-0000-0000-00009C210000}"/>
    <cellStyle name="Note 3 2 6 2 2" xfId="8295" xr:uid="{00000000-0005-0000-0000-00009D210000}"/>
    <cellStyle name="Note 3 2 6 2 2 2" xfId="16737" xr:uid="{54F9E75D-0D7A-4535-902C-489893F68901}"/>
    <cellStyle name="Note 3 2 6 2 3" xfId="12519" xr:uid="{EF6F632F-84B4-433D-9CA3-1ECF34A13355}"/>
    <cellStyle name="Note 3 2 6 3" xfId="6150" xr:uid="{00000000-0005-0000-0000-00009E210000}"/>
    <cellStyle name="Note 3 2 6 3 2" xfId="14592" xr:uid="{5015D70B-AC48-4E13-B62A-CD52E6F6A2D2}"/>
    <cellStyle name="Note 3 2 6 4" xfId="10374" xr:uid="{32EF57A7-56A3-4C9E-AFB0-6097264132DA}"/>
    <cellStyle name="Note 3 2 7" xfId="2256" xr:uid="{00000000-0005-0000-0000-00009F210000}"/>
    <cellStyle name="Note 3 2 7 2" xfId="4485" xr:uid="{00000000-0005-0000-0000-0000A0210000}"/>
    <cellStyle name="Note 3 2 7 2 2" xfId="8708" xr:uid="{00000000-0005-0000-0000-0000A1210000}"/>
    <cellStyle name="Note 3 2 7 2 2 2" xfId="17150" xr:uid="{E2548964-784D-47F7-8418-28C5026474B4}"/>
    <cellStyle name="Note 3 2 7 2 3" xfId="12932" xr:uid="{15989D9B-A18A-40F9-8CE6-DE950BE69530}"/>
    <cellStyle name="Note 3 2 7 3" xfId="6563" xr:uid="{00000000-0005-0000-0000-0000A2210000}"/>
    <cellStyle name="Note 3 2 7 3 2" xfId="15005" xr:uid="{2B882A73-EB5B-4C92-886D-5B08372C2396}"/>
    <cellStyle name="Note 3 2 7 4" xfId="10787" xr:uid="{08C00EED-4DEA-4F4F-9B6D-4BF8AA2FE6EF}"/>
    <cellStyle name="Note 3 2 8" xfId="2692" xr:uid="{00000000-0005-0000-0000-0000A3210000}"/>
    <cellStyle name="Note 3 2 8 2" xfId="6976" xr:uid="{00000000-0005-0000-0000-0000A4210000}"/>
    <cellStyle name="Note 3 2 8 2 2" xfId="15418" xr:uid="{31592D4E-2E43-4E87-8861-6F05D6DB9749}"/>
    <cellStyle name="Note 3 2 8 3" xfId="11200" xr:uid="{4455FF3A-06C1-43D5-815A-79D371D968A4}"/>
    <cellStyle name="Note 3 2 9" xfId="2751" xr:uid="{00000000-0005-0000-0000-0000A5210000}"/>
    <cellStyle name="Note 3 3" xfId="558" xr:uid="{00000000-0005-0000-0000-0000A6210000}"/>
    <cellStyle name="Note 3 3 10" xfId="4915" xr:uid="{00000000-0005-0000-0000-0000A7210000}"/>
    <cellStyle name="Note 3 3 10 2" xfId="13357" xr:uid="{0C6F419B-1D4B-4DBC-A04A-39B9340B0E79}"/>
    <cellStyle name="Note 3 3 11" xfId="9139" xr:uid="{A301E323-EFBE-4CA0-90EA-F52C313BA805}"/>
    <cellStyle name="Note 3 3 2" xfId="559" xr:uid="{00000000-0005-0000-0000-0000A8210000}"/>
    <cellStyle name="Note 3 3 2 10" xfId="9140" xr:uid="{7A6BFD37-E7DE-48D8-AFE8-CFDC1B4D6F0D}"/>
    <cellStyle name="Note 3 3 2 2" xfId="1019" xr:uid="{00000000-0005-0000-0000-0000A9210000}"/>
    <cellStyle name="Note 3 3 2 2 2" xfId="3251" xr:uid="{00000000-0005-0000-0000-0000AA210000}"/>
    <cellStyle name="Note 3 3 2 2 2 2" xfId="7474" xr:uid="{00000000-0005-0000-0000-0000AB210000}"/>
    <cellStyle name="Note 3 3 2 2 2 2 2" xfId="15916" xr:uid="{75D9EF9D-54A4-4D6A-AB0A-3E6474AEF3FD}"/>
    <cellStyle name="Note 3 3 2 2 2 3" xfId="11698" xr:uid="{87EF64AB-3124-4798-9AC0-E2596DC6F072}"/>
    <cellStyle name="Note 3 3 2 2 3" xfId="5329" xr:uid="{00000000-0005-0000-0000-0000AC210000}"/>
    <cellStyle name="Note 3 3 2 2 3 2" xfId="13771" xr:uid="{19D62176-E37B-4242-A742-DA6E93642555}"/>
    <cellStyle name="Note 3 3 2 2 4" xfId="9553" xr:uid="{9CB0321E-AF22-44F7-9322-C785738918DD}"/>
    <cellStyle name="Note 3 3 2 3" xfId="1434" xr:uid="{00000000-0005-0000-0000-0000AD210000}"/>
    <cellStyle name="Note 3 3 2 3 2" xfId="3664" xr:uid="{00000000-0005-0000-0000-0000AE210000}"/>
    <cellStyle name="Note 3 3 2 3 2 2" xfId="7887" xr:uid="{00000000-0005-0000-0000-0000AF210000}"/>
    <cellStyle name="Note 3 3 2 3 2 2 2" xfId="16329" xr:uid="{EB5BF0F1-FC3C-4937-9BA6-93A7E380C37E}"/>
    <cellStyle name="Note 3 3 2 3 2 3" xfId="12111" xr:uid="{BEA5CA7B-C197-47CF-95DE-CFB9EFE3D7DC}"/>
    <cellStyle name="Note 3 3 2 3 3" xfId="5742" xr:uid="{00000000-0005-0000-0000-0000B0210000}"/>
    <cellStyle name="Note 3 3 2 3 3 2" xfId="14184" xr:uid="{4F24E681-8C2B-41EA-9681-761E3045E78E}"/>
    <cellStyle name="Note 3 3 2 3 4" xfId="9966" xr:uid="{2F2852AA-9273-4574-883E-9A39E0D47481}"/>
    <cellStyle name="Note 3 3 2 4" xfId="1848" xr:uid="{00000000-0005-0000-0000-0000B1210000}"/>
    <cellStyle name="Note 3 3 2 4 2" xfId="4077" xr:uid="{00000000-0005-0000-0000-0000B2210000}"/>
    <cellStyle name="Note 3 3 2 4 2 2" xfId="8300" xr:uid="{00000000-0005-0000-0000-0000B3210000}"/>
    <cellStyle name="Note 3 3 2 4 2 2 2" xfId="16742" xr:uid="{D5C9F4BF-7C23-4A66-B6DD-B71D53D0B7A4}"/>
    <cellStyle name="Note 3 3 2 4 2 3" xfId="12524" xr:uid="{8018DB4A-8FA9-45F4-ADAB-4484E77B98C3}"/>
    <cellStyle name="Note 3 3 2 4 3" xfId="6155" xr:uid="{00000000-0005-0000-0000-0000B4210000}"/>
    <cellStyle name="Note 3 3 2 4 3 2" xfId="14597" xr:uid="{E0A2C315-3D13-47D5-BAEC-AA7DC0E70709}"/>
    <cellStyle name="Note 3 3 2 4 4" xfId="10379" xr:uid="{2ACF7D9C-E7F7-49CF-B222-0F32247325E6}"/>
    <cellStyle name="Note 3 3 2 5" xfId="2261" xr:uid="{00000000-0005-0000-0000-0000B5210000}"/>
    <cellStyle name="Note 3 3 2 5 2" xfId="4490" xr:uid="{00000000-0005-0000-0000-0000B6210000}"/>
    <cellStyle name="Note 3 3 2 5 2 2" xfId="8713" xr:uid="{00000000-0005-0000-0000-0000B7210000}"/>
    <cellStyle name="Note 3 3 2 5 2 2 2" xfId="17155" xr:uid="{B7867837-A555-402D-B138-05895C12A9B0}"/>
    <cellStyle name="Note 3 3 2 5 2 3" xfId="12937" xr:uid="{4782A885-2170-4278-B714-D4E116533434}"/>
    <cellStyle name="Note 3 3 2 5 3" xfId="6568" xr:uid="{00000000-0005-0000-0000-0000B8210000}"/>
    <cellStyle name="Note 3 3 2 5 3 2" xfId="15010" xr:uid="{9BD2E981-1F64-40C9-BB44-94D0BE556A25}"/>
    <cellStyle name="Note 3 3 2 5 4" xfId="10792" xr:uid="{7F3E1A7D-8D27-4323-B0E3-B967168FCAB9}"/>
    <cellStyle name="Note 3 3 2 6" xfId="2697" xr:uid="{00000000-0005-0000-0000-0000B9210000}"/>
    <cellStyle name="Note 3 3 2 6 2" xfId="6981" xr:uid="{00000000-0005-0000-0000-0000BA210000}"/>
    <cellStyle name="Note 3 3 2 6 2 2" xfId="15423" xr:uid="{D29AA677-4091-4E2F-BA83-7C01F02739C1}"/>
    <cellStyle name="Note 3 3 2 6 3" xfId="11205" xr:uid="{FFBBBE71-E1EA-473B-BACE-7F3E916ED0DF}"/>
    <cellStyle name="Note 3 3 2 7" xfId="2756" xr:uid="{00000000-0005-0000-0000-0000BB210000}"/>
    <cellStyle name="Note 3 3 2 8" xfId="2837" xr:uid="{00000000-0005-0000-0000-0000BC210000}"/>
    <cellStyle name="Note 3 3 2 8 2" xfId="7061" xr:uid="{00000000-0005-0000-0000-0000BD210000}"/>
    <cellStyle name="Note 3 3 2 8 2 2" xfId="15503" xr:uid="{8B48B2BB-5DAE-4674-824B-806F12ECEB03}"/>
    <cellStyle name="Note 3 3 2 8 3" xfId="11285" xr:uid="{4AD03F77-28AB-462F-9CE0-C1D4685CF919}"/>
    <cellStyle name="Note 3 3 2 9" xfId="4916" xr:uid="{00000000-0005-0000-0000-0000BE210000}"/>
    <cellStyle name="Note 3 3 2 9 2" xfId="13358" xr:uid="{7F8C023A-263D-4300-BF5F-979BA69B0BE8}"/>
    <cellStyle name="Note 3 3 3" xfId="1018" xr:uid="{00000000-0005-0000-0000-0000BF210000}"/>
    <cellStyle name="Note 3 3 3 2" xfId="3250" xr:uid="{00000000-0005-0000-0000-0000C0210000}"/>
    <cellStyle name="Note 3 3 3 2 2" xfId="7473" xr:uid="{00000000-0005-0000-0000-0000C1210000}"/>
    <cellStyle name="Note 3 3 3 2 2 2" xfId="15915" xr:uid="{FBCD2231-367E-4D7E-81D6-B07866BE4C74}"/>
    <cellStyle name="Note 3 3 3 2 3" xfId="11697" xr:uid="{4FD602CA-FFFB-4D0C-8194-CDA96007D3FF}"/>
    <cellStyle name="Note 3 3 3 3" xfId="5328" xr:uid="{00000000-0005-0000-0000-0000C2210000}"/>
    <cellStyle name="Note 3 3 3 3 2" xfId="13770" xr:uid="{ABFBDC41-A2D0-4A1F-88D8-86679D794863}"/>
    <cellStyle name="Note 3 3 3 4" xfId="9552" xr:uid="{D0851A35-C967-41B4-95DB-912569413F6E}"/>
    <cellStyle name="Note 3 3 4" xfId="1433" xr:uid="{00000000-0005-0000-0000-0000C3210000}"/>
    <cellStyle name="Note 3 3 4 2" xfId="3663" xr:uid="{00000000-0005-0000-0000-0000C4210000}"/>
    <cellStyle name="Note 3 3 4 2 2" xfId="7886" xr:uid="{00000000-0005-0000-0000-0000C5210000}"/>
    <cellStyle name="Note 3 3 4 2 2 2" xfId="16328" xr:uid="{4C9F7A18-6BD1-4BD4-965D-73E0044615B2}"/>
    <cellStyle name="Note 3 3 4 2 3" xfId="12110" xr:uid="{B1EBFCD1-E62D-4D3E-AD28-A035C6969242}"/>
    <cellStyle name="Note 3 3 4 3" xfId="5741" xr:uid="{00000000-0005-0000-0000-0000C6210000}"/>
    <cellStyle name="Note 3 3 4 3 2" xfId="14183" xr:uid="{34A6E460-B0A9-4B3B-8F47-4C466EED6E71}"/>
    <cellStyle name="Note 3 3 4 4" xfId="9965" xr:uid="{DC1C3DBA-A659-4E9D-AFB4-31A5E8151852}"/>
    <cellStyle name="Note 3 3 5" xfId="1847" xr:uid="{00000000-0005-0000-0000-0000C7210000}"/>
    <cellStyle name="Note 3 3 5 2" xfId="4076" xr:uid="{00000000-0005-0000-0000-0000C8210000}"/>
    <cellStyle name="Note 3 3 5 2 2" xfId="8299" xr:uid="{00000000-0005-0000-0000-0000C9210000}"/>
    <cellStyle name="Note 3 3 5 2 2 2" xfId="16741" xr:uid="{49FA748C-5DFE-4C3C-A6E6-9349FDEEEDD3}"/>
    <cellStyle name="Note 3 3 5 2 3" xfId="12523" xr:uid="{0CCE8F14-F33A-44F8-88D5-54E24927EEFB}"/>
    <cellStyle name="Note 3 3 5 3" xfId="6154" xr:uid="{00000000-0005-0000-0000-0000CA210000}"/>
    <cellStyle name="Note 3 3 5 3 2" xfId="14596" xr:uid="{B6EEEBC4-E1D6-4ABF-AF57-A99EF9F4CCD4}"/>
    <cellStyle name="Note 3 3 5 4" xfId="10378" xr:uid="{2FFE81E5-BFD7-4F40-9CE8-AA42801C480A}"/>
    <cellStyle name="Note 3 3 6" xfId="2260" xr:uid="{00000000-0005-0000-0000-0000CB210000}"/>
    <cellStyle name="Note 3 3 6 2" xfId="4489" xr:uid="{00000000-0005-0000-0000-0000CC210000}"/>
    <cellStyle name="Note 3 3 6 2 2" xfId="8712" xr:uid="{00000000-0005-0000-0000-0000CD210000}"/>
    <cellStyle name="Note 3 3 6 2 2 2" xfId="17154" xr:uid="{0715C389-EA99-4FBD-A081-BEBF9E136DED}"/>
    <cellStyle name="Note 3 3 6 2 3" xfId="12936" xr:uid="{367AB745-8FA3-449A-BF81-77A44B30E192}"/>
    <cellStyle name="Note 3 3 6 3" xfId="6567" xr:uid="{00000000-0005-0000-0000-0000CE210000}"/>
    <cellStyle name="Note 3 3 6 3 2" xfId="15009" xr:uid="{CBACD4F3-2429-41B4-AD7B-101D75C65714}"/>
    <cellStyle name="Note 3 3 6 4" xfId="10791" xr:uid="{BE3317B9-6A08-478E-B020-6DC3172BECBB}"/>
    <cellStyle name="Note 3 3 7" xfId="2696" xr:uid="{00000000-0005-0000-0000-0000CF210000}"/>
    <cellStyle name="Note 3 3 7 2" xfId="6980" xr:uid="{00000000-0005-0000-0000-0000D0210000}"/>
    <cellStyle name="Note 3 3 7 2 2" xfId="15422" xr:uid="{38AC2D46-7708-444B-A45B-3F87EAC3FFB0}"/>
    <cellStyle name="Note 3 3 7 3" xfId="11204" xr:uid="{DC4B58D4-D7BF-4D5B-B2B5-17EAE5A6F9B5}"/>
    <cellStyle name="Note 3 3 8" xfId="2755" xr:uid="{00000000-0005-0000-0000-0000D1210000}"/>
    <cellStyle name="Note 3 3 9" xfId="2836" xr:uid="{00000000-0005-0000-0000-0000D2210000}"/>
    <cellStyle name="Note 3 3 9 2" xfId="7060" xr:uid="{00000000-0005-0000-0000-0000D3210000}"/>
    <cellStyle name="Note 3 3 9 2 2" xfId="15502" xr:uid="{013CC241-B905-4492-AFA2-2DC5872C97DE}"/>
    <cellStyle name="Note 3 3 9 3" xfId="11284" xr:uid="{76F3FDD9-F86E-46AB-BEAB-4A41347FB0BA}"/>
    <cellStyle name="Note 3 4" xfId="560" xr:uid="{00000000-0005-0000-0000-0000D4210000}"/>
    <cellStyle name="Note 3 4 10" xfId="9141" xr:uid="{9EBFC2DC-26B5-43B1-B962-C63071049BB8}"/>
    <cellStyle name="Note 3 4 2" xfId="1020" xr:uid="{00000000-0005-0000-0000-0000D5210000}"/>
    <cellStyle name="Note 3 4 2 2" xfId="3252" xr:uid="{00000000-0005-0000-0000-0000D6210000}"/>
    <cellStyle name="Note 3 4 2 2 2" xfId="7475" xr:uid="{00000000-0005-0000-0000-0000D7210000}"/>
    <cellStyle name="Note 3 4 2 2 2 2" xfId="15917" xr:uid="{6AE4A61D-174B-4477-9CDC-0D14FC9CEF91}"/>
    <cellStyle name="Note 3 4 2 2 3" xfId="11699" xr:uid="{D989FDDE-CA2F-46CD-9D14-56D5D356B255}"/>
    <cellStyle name="Note 3 4 2 3" xfId="5330" xr:uid="{00000000-0005-0000-0000-0000D8210000}"/>
    <cellStyle name="Note 3 4 2 3 2" xfId="13772" xr:uid="{4C334B43-39B1-4BB6-B70E-31AD62DB77B6}"/>
    <cellStyle name="Note 3 4 2 4" xfId="9554" xr:uid="{9E94784B-4B9C-46F1-8A44-60F149BA4E77}"/>
    <cellStyle name="Note 3 4 3" xfId="1435" xr:uid="{00000000-0005-0000-0000-0000D9210000}"/>
    <cellStyle name="Note 3 4 3 2" xfId="3665" xr:uid="{00000000-0005-0000-0000-0000DA210000}"/>
    <cellStyle name="Note 3 4 3 2 2" xfId="7888" xr:uid="{00000000-0005-0000-0000-0000DB210000}"/>
    <cellStyle name="Note 3 4 3 2 2 2" xfId="16330" xr:uid="{35DD6219-2C17-48E9-AC63-D3E775EA58FD}"/>
    <cellStyle name="Note 3 4 3 2 3" xfId="12112" xr:uid="{B776302C-C811-4BF6-8AD4-BDEBDED4642C}"/>
    <cellStyle name="Note 3 4 3 3" xfId="5743" xr:uid="{00000000-0005-0000-0000-0000DC210000}"/>
    <cellStyle name="Note 3 4 3 3 2" xfId="14185" xr:uid="{B16CE0DA-0398-47EA-B9F6-62D9BCC753E7}"/>
    <cellStyle name="Note 3 4 3 4" xfId="9967" xr:uid="{DEF20D23-448B-48F9-B558-8D1C815E2CA2}"/>
    <cellStyle name="Note 3 4 4" xfId="1849" xr:uid="{00000000-0005-0000-0000-0000DD210000}"/>
    <cellStyle name="Note 3 4 4 2" xfId="4078" xr:uid="{00000000-0005-0000-0000-0000DE210000}"/>
    <cellStyle name="Note 3 4 4 2 2" xfId="8301" xr:uid="{00000000-0005-0000-0000-0000DF210000}"/>
    <cellStyle name="Note 3 4 4 2 2 2" xfId="16743" xr:uid="{98B0A376-7108-433C-BF94-42D3C28B2F4B}"/>
    <cellStyle name="Note 3 4 4 2 3" xfId="12525" xr:uid="{8C539513-7602-42E3-9656-197F072E970D}"/>
    <cellStyle name="Note 3 4 4 3" xfId="6156" xr:uid="{00000000-0005-0000-0000-0000E0210000}"/>
    <cellStyle name="Note 3 4 4 3 2" xfId="14598" xr:uid="{D4DFEF10-BCAC-4A06-97B0-DBCF411BC1D6}"/>
    <cellStyle name="Note 3 4 4 4" xfId="10380" xr:uid="{7C07A498-F2BD-4399-88B5-500A19D744D1}"/>
    <cellStyle name="Note 3 4 5" xfId="2262" xr:uid="{00000000-0005-0000-0000-0000E1210000}"/>
    <cellStyle name="Note 3 4 5 2" xfId="4491" xr:uid="{00000000-0005-0000-0000-0000E2210000}"/>
    <cellStyle name="Note 3 4 5 2 2" xfId="8714" xr:uid="{00000000-0005-0000-0000-0000E3210000}"/>
    <cellStyle name="Note 3 4 5 2 2 2" xfId="17156" xr:uid="{409DCEAC-770C-4DA5-A6FB-7D986DF26B0C}"/>
    <cellStyle name="Note 3 4 5 2 3" xfId="12938" xr:uid="{31EDA587-0C78-4A6E-ADDC-D5364404B194}"/>
    <cellStyle name="Note 3 4 5 3" xfId="6569" xr:uid="{00000000-0005-0000-0000-0000E4210000}"/>
    <cellStyle name="Note 3 4 5 3 2" xfId="15011" xr:uid="{B719CD35-E2E5-4DFD-9101-75780FE8D90A}"/>
    <cellStyle name="Note 3 4 5 4" xfId="10793" xr:uid="{DBFB30A3-97FE-42C9-AF81-EB998CE4F256}"/>
    <cellStyle name="Note 3 4 6" xfId="2698" xr:uid="{00000000-0005-0000-0000-0000E5210000}"/>
    <cellStyle name="Note 3 4 6 2" xfId="6982" xr:uid="{00000000-0005-0000-0000-0000E6210000}"/>
    <cellStyle name="Note 3 4 6 2 2" xfId="15424" xr:uid="{BBDD766F-ED88-4C9C-AC2F-7DFA76B1F8F7}"/>
    <cellStyle name="Note 3 4 6 3" xfId="11206" xr:uid="{DD796467-0729-4FDC-B436-13D80748179E}"/>
    <cellStyle name="Note 3 4 7" xfId="2757" xr:uid="{00000000-0005-0000-0000-0000E7210000}"/>
    <cellStyle name="Note 3 4 8" xfId="2838" xr:uid="{00000000-0005-0000-0000-0000E8210000}"/>
    <cellStyle name="Note 3 4 8 2" xfId="7062" xr:uid="{00000000-0005-0000-0000-0000E9210000}"/>
    <cellStyle name="Note 3 4 8 2 2" xfId="15504" xr:uid="{F4430EFD-FD78-4E9B-B089-90358CFF13B7}"/>
    <cellStyle name="Note 3 4 8 3" xfId="11286" xr:uid="{AA725206-9D9D-4797-9A4F-DAB341463B77}"/>
    <cellStyle name="Note 3 4 9" xfId="4917" xr:uid="{00000000-0005-0000-0000-0000EA210000}"/>
    <cellStyle name="Note 3 4 9 2" xfId="13359" xr:uid="{37224DF6-9F6C-463F-A7B6-C423CBEC8B9D}"/>
    <cellStyle name="Note 3 5" xfId="561" xr:uid="{00000000-0005-0000-0000-0000EB210000}"/>
    <cellStyle name="Note 3 5 10" xfId="9142" xr:uid="{A7EE5A6B-D85D-438E-B57F-66EAF2BB69AD}"/>
    <cellStyle name="Note 3 5 2" xfId="1021" xr:uid="{00000000-0005-0000-0000-0000EC210000}"/>
    <cellStyle name="Note 3 5 2 2" xfId="3253" xr:uid="{00000000-0005-0000-0000-0000ED210000}"/>
    <cellStyle name="Note 3 5 2 2 2" xfId="7476" xr:uid="{00000000-0005-0000-0000-0000EE210000}"/>
    <cellStyle name="Note 3 5 2 2 2 2" xfId="15918" xr:uid="{1347E8B6-6088-4095-81AD-4AA276599265}"/>
    <cellStyle name="Note 3 5 2 2 3" xfId="11700" xr:uid="{FE87E0E4-FF8C-4C20-ABDF-6B9464431353}"/>
    <cellStyle name="Note 3 5 2 3" xfId="5331" xr:uid="{00000000-0005-0000-0000-0000EF210000}"/>
    <cellStyle name="Note 3 5 2 3 2" xfId="13773" xr:uid="{F8937D60-4E96-4243-B78E-9E0F8B7AF7E1}"/>
    <cellStyle name="Note 3 5 2 4" xfId="9555" xr:uid="{C8FF12F9-8232-4946-8895-FB2D46B0D394}"/>
    <cellStyle name="Note 3 5 3" xfId="1436" xr:uid="{00000000-0005-0000-0000-0000F0210000}"/>
    <cellStyle name="Note 3 5 3 2" xfId="3666" xr:uid="{00000000-0005-0000-0000-0000F1210000}"/>
    <cellStyle name="Note 3 5 3 2 2" xfId="7889" xr:uid="{00000000-0005-0000-0000-0000F2210000}"/>
    <cellStyle name="Note 3 5 3 2 2 2" xfId="16331" xr:uid="{D9D48798-639A-4A07-8060-5FE34D8B8852}"/>
    <cellStyle name="Note 3 5 3 2 3" xfId="12113" xr:uid="{0035E062-8B2A-406F-9C6C-3BD771FFF55F}"/>
    <cellStyle name="Note 3 5 3 3" xfId="5744" xr:uid="{00000000-0005-0000-0000-0000F3210000}"/>
    <cellStyle name="Note 3 5 3 3 2" xfId="14186" xr:uid="{BBDA9D44-90FA-4DF1-AEC5-3A303E8072A0}"/>
    <cellStyle name="Note 3 5 3 4" xfId="9968" xr:uid="{3838C1D5-F0D6-40F4-AF18-98136374E19E}"/>
    <cellStyle name="Note 3 5 4" xfId="1850" xr:uid="{00000000-0005-0000-0000-0000F4210000}"/>
    <cellStyle name="Note 3 5 4 2" xfId="4079" xr:uid="{00000000-0005-0000-0000-0000F5210000}"/>
    <cellStyle name="Note 3 5 4 2 2" xfId="8302" xr:uid="{00000000-0005-0000-0000-0000F6210000}"/>
    <cellStyle name="Note 3 5 4 2 2 2" xfId="16744" xr:uid="{723F64F1-EBB4-426F-BCE7-D36DF9F1DF31}"/>
    <cellStyle name="Note 3 5 4 2 3" xfId="12526" xr:uid="{F5454116-22C9-465D-84AF-AD9552E0D6CC}"/>
    <cellStyle name="Note 3 5 4 3" xfId="6157" xr:uid="{00000000-0005-0000-0000-0000F7210000}"/>
    <cellStyle name="Note 3 5 4 3 2" xfId="14599" xr:uid="{39B5A4EB-B517-47F3-B7BD-F3CC7D39EF99}"/>
    <cellStyle name="Note 3 5 4 4" xfId="10381" xr:uid="{3DA317E5-5ADB-4DA3-861E-7B99EB85A06B}"/>
    <cellStyle name="Note 3 5 5" xfId="2263" xr:uid="{00000000-0005-0000-0000-0000F8210000}"/>
    <cellStyle name="Note 3 5 5 2" xfId="4492" xr:uid="{00000000-0005-0000-0000-0000F9210000}"/>
    <cellStyle name="Note 3 5 5 2 2" xfId="8715" xr:uid="{00000000-0005-0000-0000-0000FA210000}"/>
    <cellStyle name="Note 3 5 5 2 2 2" xfId="17157" xr:uid="{92537D36-2188-4420-8F5E-12873F140A3D}"/>
    <cellStyle name="Note 3 5 5 2 3" xfId="12939" xr:uid="{879B70BD-EAA0-4630-A92D-E60557589343}"/>
    <cellStyle name="Note 3 5 5 3" xfId="6570" xr:uid="{00000000-0005-0000-0000-0000FB210000}"/>
    <cellStyle name="Note 3 5 5 3 2" xfId="15012" xr:uid="{2A498BFD-AB99-4327-8896-8AA58CD834A7}"/>
    <cellStyle name="Note 3 5 5 4" xfId="10794" xr:uid="{949AD7D7-CADC-4EFE-B4AB-65863AF44AB0}"/>
    <cellStyle name="Note 3 5 6" xfId="2699" xr:uid="{00000000-0005-0000-0000-0000FC210000}"/>
    <cellStyle name="Note 3 5 6 2" xfId="6983" xr:uid="{00000000-0005-0000-0000-0000FD210000}"/>
    <cellStyle name="Note 3 5 6 2 2" xfId="15425" xr:uid="{F21A4D29-58B9-4D92-AC5B-71E151DCDDF6}"/>
    <cellStyle name="Note 3 5 6 3" xfId="11207" xr:uid="{1FEAC5D1-7029-4A41-82B3-23A92DA9A399}"/>
    <cellStyle name="Note 3 5 7" xfId="2758" xr:uid="{00000000-0005-0000-0000-0000FE210000}"/>
    <cellStyle name="Note 3 5 8" xfId="2839" xr:uid="{00000000-0005-0000-0000-0000FF210000}"/>
    <cellStyle name="Note 3 5 8 2" xfId="7063" xr:uid="{00000000-0005-0000-0000-000000220000}"/>
    <cellStyle name="Note 3 5 8 2 2" xfId="15505" xr:uid="{0EDEF0F1-76BF-4369-A81E-9272E29E8459}"/>
    <cellStyle name="Note 3 5 8 3" xfId="11287" xr:uid="{E18399D0-AA83-4B0F-A470-E7B498307096}"/>
    <cellStyle name="Note 3 5 9" xfId="4918" xr:uid="{00000000-0005-0000-0000-000001220000}"/>
    <cellStyle name="Note 3 5 9 2" xfId="13360" xr:uid="{776CD873-91CB-4076-B366-E0A2A3B7BC7F}"/>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96061531-6B83-46F3-9989-5508BD896C71}"/>
    <cellStyle name="Percent 4" xfId="4502" xr:uid="{00000000-0005-0000-0000-000007220000}"/>
    <cellStyle name="Percent 4 2" xfId="8718" xr:uid="{00000000-0005-0000-0000-000008220000}"/>
    <cellStyle name="Percent 4 2 2" xfId="17160" xr:uid="{071BE138-4083-4E86-9F82-C517E098A857}"/>
    <cellStyle name="Percent 4 3" xfId="8721" xr:uid="{D09CD3FC-D632-4B66-A68A-5CC92F993799}"/>
    <cellStyle name="Percent 4 3 2" xfId="8725" xr:uid="{D57AE941-8E59-43F0-AB73-09B3BCCFA234}"/>
    <cellStyle name="Percent 4 3 2 2" xfId="8728" xr:uid="{D24D76A7-D076-4554-9944-551B122393DE}"/>
    <cellStyle name="Percent 4 3 3" xfId="17163" xr:uid="{745EE370-073C-4607-929F-E88465E4C55C}"/>
    <cellStyle name="Percent 4 4" xfId="12946" xr:uid="{532AC22B-FF38-4414-A846-793E7FA806EF}"/>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2574</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2347</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2501</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2348</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2580</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2496</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2355</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2356</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2350</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2351</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2352</v>
      </c>
      <c r="F140" s="2"/>
      <c r="G140" s="2"/>
      <c r="H140" s="2"/>
    </row>
    <row r="141" spans="4:37">
      <c r="E141" t="s">
        <v>112</v>
      </c>
      <c r="F141" t="s">
        <v>52</v>
      </c>
    </row>
    <row r="142" spans="4:37">
      <c r="E142" t="s">
        <v>113</v>
      </c>
      <c r="F142" t="s">
        <v>475</v>
      </c>
    </row>
    <row r="143" spans="4:37"/>
    <row r="144" spans="4:37">
      <c r="D144" s="2" t="s">
        <v>430</v>
      </c>
      <c r="E144" s="2" t="s">
        <v>2353</v>
      </c>
    </row>
    <row r="145" spans="3:7">
      <c r="E145" s="218" t="s">
        <v>2354</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7" zoomScaleNormal="100" workbookViewId="0">
      <selection activeCell="BD239" sqref="BD239"/>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5" t="s">
        <v>2409</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7"/>
    </row>
    <row r="2" spans="1:65" ht="15.75" customHeight="1">
      <c r="A2" s="2238" t="s">
        <v>2456</v>
      </c>
      <c r="B2" s="2239"/>
      <c r="C2" s="2239"/>
      <c r="D2" s="2239"/>
      <c r="E2" s="2239"/>
      <c r="F2" s="2239"/>
      <c r="G2" s="2239"/>
      <c r="H2" s="2239"/>
      <c r="I2" s="2239"/>
      <c r="J2" s="2239"/>
      <c r="K2" s="2239"/>
      <c r="L2" s="2239"/>
      <c r="M2" s="2239"/>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4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41" t="str">
        <f>IF(Application!H18="","",Application!H18)</f>
        <v>Viscar Terrace Apartments</v>
      </c>
      <c r="M4" s="2242"/>
      <c r="N4" s="2242"/>
      <c r="O4" s="2242"/>
      <c r="P4" s="2242"/>
      <c r="Q4" s="2242"/>
      <c r="R4" s="2242"/>
      <c r="S4" s="2242"/>
      <c r="T4" s="2242"/>
      <c r="U4" s="2242"/>
      <c r="V4" s="2242"/>
      <c r="W4" s="2242"/>
      <c r="X4" s="2242"/>
      <c r="Y4" s="2242"/>
      <c r="Z4" s="2242"/>
      <c r="AA4" s="2242"/>
      <c r="AB4" s="2242"/>
      <c r="AC4" s="2243"/>
      <c r="AD4" s="1209"/>
      <c r="AE4" s="1209"/>
      <c r="AF4" s="2244" t="s">
        <v>2457</v>
      </c>
      <c r="AG4" s="2244"/>
      <c r="AH4" s="2244"/>
      <c r="AI4" s="2244"/>
      <c r="AJ4" s="2244"/>
      <c r="AK4" s="2244"/>
      <c r="AL4" s="2244"/>
      <c r="AM4" s="2244"/>
      <c r="AN4" s="2244"/>
      <c r="AO4" s="2244"/>
      <c r="AP4" s="2245">
        <v>45688</v>
      </c>
      <c r="AQ4" s="2246"/>
      <c r="AR4" s="2246"/>
      <c r="AS4" s="2246"/>
      <c r="AT4" s="2246"/>
      <c r="AU4" s="224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4" t="s">
        <v>2458</v>
      </c>
      <c r="AG5" s="2244"/>
      <c r="AH5" s="2244"/>
      <c r="AI5" s="2244"/>
      <c r="AJ5" s="2244"/>
      <c r="AK5" s="2244"/>
      <c r="AL5" s="2244"/>
      <c r="AM5" s="2244"/>
      <c r="AN5" s="2244"/>
      <c r="AO5" s="2244"/>
      <c r="AP5" s="2245">
        <v>45383</v>
      </c>
      <c r="AQ5" s="2246"/>
      <c r="AR5" s="2246"/>
      <c r="AS5" s="2246"/>
      <c r="AT5" s="2246"/>
      <c r="AU5" s="2246"/>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41" t="str">
        <f>IF(Application!H16="","",Application!H16)</f>
        <v>Viscar Terrace LP</v>
      </c>
      <c r="M6" s="2242"/>
      <c r="N6" s="2242"/>
      <c r="O6" s="2242"/>
      <c r="P6" s="2242"/>
      <c r="Q6" s="2242"/>
      <c r="R6" s="2242"/>
      <c r="S6" s="2242"/>
      <c r="T6" s="2242"/>
      <c r="U6" s="2242"/>
      <c r="V6" s="2242"/>
      <c r="W6" s="2242"/>
      <c r="X6" s="2242"/>
      <c r="Y6" s="2242"/>
      <c r="Z6" s="2242"/>
      <c r="AA6" s="2242"/>
      <c r="AB6" s="2242"/>
      <c r="AC6" s="2243"/>
      <c r="AD6" s="1209"/>
      <c r="AE6" s="1209"/>
      <c r="AF6" s="2247" t="s">
        <v>2459</v>
      </c>
      <c r="AG6" s="2247"/>
      <c r="AH6" s="2247"/>
      <c r="AI6" s="2247"/>
      <c r="AJ6" s="2247"/>
      <c r="AK6" s="2247"/>
      <c r="AL6" s="2247"/>
      <c r="AM6" s="2247"/>
      <c r="AN6" s="2247"/>
      <c r="AO6" s="2247"/>
      <c r="AP6" s="2234" t="s">
        <v>2747</v>
      </c>
      <c r="AQ6" s="2234"/>
      <c r="AR6" s="2234"/>
      <c r="AS6" s="2234"/>
      <c r="AT6" s="2234"/>
      <c r="AU6" s="223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7" t="s">
        <v>2460</v>
      </c>
      <c r="AG7" s="2247"/>
      <c r="AH7" s="2247"/>
      <c r="AI7" s="2247"/>
      <c r="AJ7" s="2247"/>
      <c r="AK7" s="2247"/>
      <c r="AL7" s="2247"/>
      <c r="AM7" s="2247"/>
      <c r="AN7" s="2247"/>
      <c r="AO7" s="2247"/>
      <c r="AP7" s="2234">
        <v>2</v>
      </c>
      <c r="AQ7" s="2234"/>
      <c r="AR7" s="2234"/>
      <c r="AS7" s="2234"/>
      <c r="AT7" s="2234"/>
      <c r="AU7" s="2234"/>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8" t="str">
        <f>Application!T197</f>
        <v>No</v>
      </c>
      <c r="AC8" s="2249"/>
      <c r="AD8" s="2250"/>
      <c r="AE8" s="1209"/>
      <c r="AF8" s="2247" t="s">
        <v>2461</v>
      </c>
      <c r="AG8" s="2247"/>
      <c r="AH8" s="2247"/>
      <c r="AI8" s="2247"/>
      <c r="AJ8" s="2247"/>
      <c r="AK8" s="2247"/>
      <c r="AL8" s="2247"/>
      <c r="AM8" s="2247"/>
      <c r="AN8" s="2247"/>
      <c r="AO8" s="2247"/>
      <c r="AP8" s="2234" t="s">
        <v>2413</v>
      </c>
      <c r="AQ8" s="2234"/>
      <c r="AR8" s="2234"/>
      <c r="AS8" s="2234"/>
      <c r="AT8" s="2234"/>
      <c r="AU8" s="2234"/>
      <c r="AV8" s="1209"/>
      <c r="AW8" s="1209"/>
      <c r="AX8" s="1209"/>
      <c r="AY8" s="1209"/>
      <c r="AZ8" s="1209"/>
      <c r="BA8" s="1209"/>
      <c r="BB8" s="1209"/>
      <c r="BC8" s="1209"/>
      <c r="BD8" s="1209"/>
      <c r="BE8" s="1219"/>
      <c r="BM8" s="1200" t="s">
        <v>2289</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4" t="s">
        <v>2619</v>
      </c>
      <c r="AG9" s="2244"/>
      <c r="AH9" s="2244"/>
      <c r="AI9" s="2244"/>
      <c r="AJ9" s="2244"/>
      <c r="AK9" s="2244"/>
      <c r="AL9" s="2244"/>
      <c r="AM9" s="2244"/>
      <c r="AN9" s="2244"/>
      <c r="AO9" s="2244"/>
      <c r="AP9" s="2245">
        <v>46387</v>
      </c>
      <c r="AQ9" s="2246"/>
      <c r="AR9" s="2246"/>
      <c r="AS9" s="2246"/>
      <c r="AT9" s="2246"/>
      <c r="AU9" s="2246"/>
      <c r="AV9" s="1209"/>
      <c r="AW9" s="1209"/>
      <c r="AX9" s="1209"/>
      <c r="AY9" s="1209"/>
      <c r="AZ9" s="1209"/>
      <c r="BA9" s="1209"/>
      <c r="BB9" s="1209"/>
      <c r="BC9" s="1209"/>
      <c r="BD9" s="1209"/>
      <c r="BE9" s="1219"/>
      <c r="BM9" s="1200" t="s">
        <v>2462</v>
      </c>
    </row>
    <row r="10" spans="1:65" ht="15">
      <c r="A10" s="1215"/>
      <c r="B10" s="1217" t="s">
        <v>1793</v>
      </c>
      <c r="C10" s="1217"/>
      <c r="D10" s="1217"/>
      <c r="E10" s="1217"/>
      <c r="F10" s="1217"/>
      <c r="G10" s="1217"/>
      <c r="H10" s="1217"/>
      <c r="I10" s="1217"/>
      <c r="J10" s="1217"/>
      <c r="K10" s="1217"/>
      <c r="L10" s="1217"/>
      <c r="M10" s="1209"/>
      <c r="N10" s="2259">
        <f>Application!AO627</f>
        <v>25428494</v>
      </c>
      <c r="O10" s="2259"/>
      <c r="P10" s="2259"/>
      <c r="Q10" s="2259"/>
      <c r="R10" s="2259"/>
      <c r="S10" s="2259"/>
      <c r="T10" s="2259"/>
      <c r="U10" s="1209"/>
      <c r="V10" s="1209"/>
      <c r="W10" s="1209"/>
      <c r="X10" s="1258"/>
      <c r="Y10" s="1258"/>
      <c r="Z10" s="1258"/>
      <c r="AA10" s="1258"/>
      <c r="AB10" s="1258"/>
      <c r="AC10" s="1258"/>
      <c r="AD10" s="1258"/>
      <c r="AE10" s="1258"/>
      <c r="AF10" s="2244" t="s">
        <v>2618</v>
      </c>
      <c r="AG10" s="2244"/>
      <c r="AH10" s="2244"/>
      <c r="AI10" s="2244"/>
      <c r="AJ10" s="2244"/>
      <c r="AK10" s="2244"/>
      <c r="AL10" s="2244"/>
      <c r="AM10" s="2244"/>
      <c r="AN10" s="2244"/>
      <c r="AO10" s="2244"/>
      <c r="AP10" s="2245">
        <v>46235</v>
      </c>
      <c r="AQ10" s="2246"/>
      <c r="AR10" s="2246"/>
      <c r="AS10" s="2246"/>
      <c r="AT10" s="2246"/>
      <c r="AU10" s="2246"/>
      <c r="AV10" s="1258"/>
      <c r="AW10" s="1258"/>
      <c r="AX10" s="1209"/>
      <c r="AY10" s="1209"/>
      <c r="AZ10" s="1209"/>
      <c r="BA10" s="1209"/>
      <c r="BB10" s="1209"/>
      <c r="BC10" s="1209"/>
      <c r="BD10" s="1209"/>
      <c r="BE10" s="1219"/>
      <c r="BM10" s="1200" t="s">
        <v>2464</v>
      </c>
    </row>
    <row r="11" spans="1:65" ht="15">
      <c r="A11" s="1215"/>
      <c r="B11" s="1217" t="s">
        <v>1794</v>
      </c>
      <c r="C11" s="1217"/>
      <c r="D11" s="1217"/>
      <c r="E11" s="1217"/>
      <c r="F11" s="1217"/>
      <c r="G11" s="1217"/>
      <c r="H11" s="1217"/>
      <c r="I11" s="1217"/>
      <c r="J11" s="1217"/>
      <c r="K11" s="1217"/>
      <c r="L11" s="1217"/>
      <c r="M11" s="1209"/>
      <c r="N11" s="2259">
        <f>Application!AA933</f>
        <v>0</v>
      </c>
      <c r="O11" s="2259"/>
      <c r="P11" s="2259"/>
      <c r="Q11" s="2259"/>
      <c r="R11" s="2259"/>
      <c r="S11" s="2259"/>
      <c r="T11" s="2259"/>
      <c r="U11" s="1209"/>
      <c r="V11" s="1209"/>
      <c r="W11" s="1209"/>
      <c r="X11" s="1258"/>
      <c r="Y11" s="1258"/>
      <c r="Z11" s="1258"/>
      <c r="AA11" s="1258"/>
      <c r="AB11" s="1258"/>
      <c r="AC11" s="1258"/>
      <c r="AD11" s="1258"/>
      <c r="AE11" s="1258"/>
      <c r="AF11" s="2244" t="s">
        <v>2617</v>
      </c>
      <c r="AG11" s="2244"/>
      <c r="AH11" s="2244"/>
      <c r="AI11" s="2244"/>
      <c r="AJ11" s="2244"/>
      <c r="AK11" s="2244"/>
      <c r="AL11" s="2244"/>
      <c r="AM11" s="2244"/>
      <c r="AN11" s="2244"/>
      <c r="AO11" s="2244"/>
      <c r="AP11" s="2245">
        <v>46508</v>
      </c>
      <c r="AQ11" s="2246"/>
      <c r="AR11" s="2246"/>
      <c r="AS11" s="2246"/>
      <c r="AT11" s="2246"/>
      <c r="AU11" s="2246"/>
      <c r="AV11" s="1258"/>
      <c r="AW11" s="1258"/>
      <c r="AX11" s="1209"/>
      <c r="AY11" s="1209"/>
      <c r="AZ11" s="1209"/>
      <c r="BA11" s="1209"/>
      <c r="BB11" s="1209"/>
      <c r="BC11" s="1209"/>
      <c r="BD11" s="1209"/>
      <c r="BE11" s="1219"/>
      <c r="BM11" s="1200" t="s">
        <v>2413</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2467</v>
      </c>
    </row>
    <row r="13" spans="1:65" thickBot="1">
      <c r="A13" s="1209"/>
      <c r="B13" s="2266" t="s">
        <v>1795</v>
      </c>
      <c r="C13" s="2267"/>
      <c r="D13" s="2267"/>
      <c r="E13" s="2267"/>
      <c r="F13" s="2267"/>
      <c r="G13" s="2267"/>
      <c r="H13" s="2267"/>
      <c r="I13" s="2267"/>
      <c r="J13" s="2267"/>
      <c r="K13" s="2267"/>
      <c r="L13" s="2267"/>
      <c r="M13" s="2267"/>
      <c r="N13" s="2267"/>
      <c r="O13" s="2267"/>
      <c r="P13" s="2268"/>
      <c r="Q13" s="2269" t="s">
        <v>678</v>
      </c>
      <c r="R13" s="2270"/>
      <c r="S13" s="2270"/>
      <c r="T13" s="2271"/>
      <c r="U13" s="1258"/>
      <c r="V13" s="1209"/>
      <c r="W13" s="1209"/>
      <c r="X13" s="1209"/>
      <c r="Y13" s="1209"/>
      <c r="Z13" s="1209"/>
      <c r="AA13" s="2260" t="s">
        <v>2463</v>
      </c>
      <c r="AB13" s="2260"/>
      <c r="AC13" s="2260"/>
      <c r="AD13" s="2260"/>
      <c r="AE13" s="2260"/>
      <c r="AF13" s="2260"/>
      <c r="AG13" s="2260"/>
      <c r="AH13" s="2260"/>
      <c r="AI13" s="2260"/>
      <c r="AJ13" s="2260"/>
      <c r="AK13" s="2260"/>
      <c r="AL13" s="2260"/>
      <c r="AM13" s="2260"/>
      <c r="AN13" s="2260"/>
      <c r="AO13" s="2261">
        <f>Application!W473</f>
        <v>0</v>
      </c>
      <c r="AP13" s="2262"/>
      <c r="AQ13" s="2262"/>
      <c r="AR13" s="2262"/>
      <c r="AS13" s="2262"/>
      <c r="AT13" s="1258"/>
      <c r="AU13" s="1258"/>
      <c r="AV13" s="1258"/>
      <c r="AW13" s="1258"/>
      <c r="AX13" s="1258"/>
      <c r="AY13" s="1258"/>
      <c r="AZ13" s="1258"/>
      <c r="BA13" s="1258"/>
      <c r="BB13" s="1258"/>
      <c r="BC13" s="1258"/>
      <c r="BD13" s="1258"/>
      <c r="BE13" s="1205"/>
      <c r="BM13" s="1200" t="s">
        <v>2468</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3" t="s">
        <v>2465</v>
      </c>
      <c r="AB14" s="2263"/>
      <c r="AC14" s="2263"/>
      <c r="AD14" s="2263"/>
      <c r="AE14" s="2263"/>
      <c r="AF14" s="2263"/>
      <c r="AG14" s="2263"/>
      <c r="AH14" s="2263"/>
      <c r="AI14" s="2263"/>
      <c r="AJ14" s="2263"/>
      <c r="AK14" s="2263"/>
      <c r="AL14" s="2263"/>
      <c r="AM14" s="2263"/>
      <c r="AN14" s="2263"/>
      <c r="AO14" s="2264">
        <v>45343</v>
      </c>
      <c r="AP14" s="2265"/>
      <c r="AQ14" s="2265"/>
      <c r="AR14" s="2265"/>
      <c r="AS14" s="2265"/>
      <c r="AT14" s="1258"/>
      <c r="AU14" s="1258"/>
      <c r="AV14" s="1258"/>
      <c r="AW14" s="1258"/>
      <c r="AX14" s="1258"/>
      <c r="AY14" s="1258"/>
      <c r="AZ14" s="1258"/>
      <c r="BA14" s="1258"/>
      <c r="BB14" s="1258"/>
      <c r="BC14" s="1258"/>
      <c r="BD14" s="1258"/>
      <c r="BE14" s="1205"/>
    </row>
    <row r="15" spans="1:65" thickBot="1">
      <c r="A15" s="1209"/>
      <c r="B15" s="2272" t="s">
        <v>1796</v>
      </c>
      <c r="C15" s="2273"/>
      <c r="D15" s="2273"/>
      <c r="E15" s="2273"/>
      <c r="F15" s="2273"/>
      <c r="G15" s="2273"/>
      <c r="H15" s="2273"/>
      <c r="I15" s="2273"/>
      <c r="J15" s="2273"/>
      <c r="K15" s="2273"/>
      <c r="L15" s="2273"/>
      <c r="M15" s="2273"/>
      <c r="N15" s="2273"/>
      <c r="O15" s="2273"/>
      <c r="P15" s="2273"/>
      <c r="Q15" s="2273"/>
      <c r="R15" s="2274"/>
      <c r="S15" s="2275" t="str">
        <f>IF(Application!AB214="","",Application!AB214)</f>
        <v/>
      </c>
      <c r="T15" s="2275"/>
      <c r="U15" s="2275"/>
      <c r="V15" s="2275"/>
      <c r="W15" s="2276"/>
      <c r="X15" s="1258"/>
      <c r="Y15" s="1209"/>
      <c r="Z15" s="1209"/>
      <c r="AA15" s="2260" t="s">
        <v>2466</v>
      </c>
      <c r="AB15" s="2260"/>
      <c r="AC15" s="2260"/>
      <c r="AD15" s="2260"/>
      <c r="AE15" s="2260"/>
      <c r="AF15" s="2260"/>
      <c r="AG15" s="2260"/>
      <c r="AH15" s="2260"/>
      <c r="AI15" s="2260"/>
      <c r="AJ15" s="2260"/>
      <c r="AK15" s="2260"/>
      <c r="AL15" s="2260"/>
      <c r="AM15" s="2260"/>
      <c r="AN15" s="2260"/>
      <c r="AO15" s="2264">
        <v>45405</v>
      </c>
      <c r="AP15" s="2265"/>
      <c r="AQ15" s="2265"/>
      <c r="AR15" s="2265"/>
      <c r="AS15" s="2265"/>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7" t="s">
        <v>1797</v>
      </c>
      <c r="C17" s="2278"/>
      <c r="D17" s="2278"/>
      <c r="E17" s="2278"/>
      <c r="F17" s="2278"/>
      <c r="G17" s="2278"/>
      <c r="H17" s="2278"/>
      <c r="I17" s="2278"/>
      <c r="J17" s="2278"/>
      <c r="K17" s="2278"/>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c r="AS17" s="2278"/>
      <c r="AT17" s="2278"/>
      <c r="AU17" s="2278"/>
      <c r="AV17" s="2278"/>
      <c r="AW17" s="2278"/>
      <c r="AX17" s="2278"/>
      <c r="AY17" s="2279"/>
      <c r="AZ17" s="1209"/>
      <c r="BA17" s="1209"/>
      <c r="BB17" s="1209"/>
      <c r="BC17" s="1209"/>
      <c r="BD17" s="1209"/>
      <c r="BE17" s="1205"/>
      <c r="BF17" s="1201"/>
    </row>
    <row r="18" spans="1:58" ht="15.75" customHeight="1">
      <c r="A18" s="1209"/>
      <c r="B18" s="2280" t="s">
        <v>1798</v>
      </c>
      <c r="C18" s="2281"/>
      <c r="D18" s="2281"/>
      <c r="E18" s="2281"/>
      <c r="F18" s="2281"/>
      <c r="G18" s="2281"/>
      <c r="H18" s="2281"/>
      <c r="I18" s="2282"/>
      <c r="J18" s="2283" t="s">
        <v>1699</v>
      </c>
      <c r="K18" s="2284"/>
      <c r="L18" s="2284"/>
      <c r="M18" s="2284"/>
      <c r="N18" s="2284"/>
      <c r="O18" s="2285"/>
      <c r="P18" s="2283" t="s">
        <v>325</v>
      </c>
      <c r="Q18" s="2284"/>
      <c r="R18" s="2284"/>
      <c r="S18" s="2284"/>
      <c r="T18" s="2284"/>
      <c r="U18" s="2285"/>
      <c r="V18" s="2283" t="s">
        <v>326</v>
      </c>
      <c r="W18" s="2284"/>
      <c r="X18" s="2284"/>
      <c r="Y18" s="2284"/>
      <c r="Z18" s="2284"/>
      <c r="AA18" s="2285"/>
      <c r="AB18" s="2283" t="s">
        <v>163</v>
      </c>
      <c r="AC18" s="2284"/>
      <c r="AD18" s="2284"/>
      <c r="AE18" s="2284"/>
      <c r="AF18" s="2284"/>
      <c r="AG18" s="2285"/>
      <c r="AH18" s="2283" t="s">
        <v>164</v>
      </c>
      <c r="AI18" s="2284"/>
      <c r="AJ18" s="2284"/>
      <c r="AK18" s="2284"/>
      <c r="AL18" s="2284"/>
      <c r="AM18" s="2285"/>
      <c r="AN18" s="2283" t="s">
        <v>165</v>
      </c>
      <c r="AO18" s="2284"/>
      <c r="AP18" s="2284"/>
      <c r="AQ18" s="2284"/>
      <c r="AR18" s="2284"/>
      <c r="AS18" s="2285"/>
      <c r="AT18" s="2283" t="s">
        <v>1799</v>
      </c>
      <c r="AU18" s="2284"/>
      <c r="AV18" s="2284"/>
      <c r="AW18" s="2284"/>
      <c r="AX18" s="2284"/>
      <c r="AY18" s="2286"/>
      <c r="AZ18" s="1209"/>
      <c r="BA18" s="1209"/>
      <c r="BB18" s="1209"/>
      <c r="BC18" s="1209"/>
      <c r="BD18" s="1209"/>
      <c r="BE18" s="1205"/>
    </row>
    <row r="19" spans="1:58" ht="15">
      <c r="A19" s="1209"/>
      <c r="B19" s="2287">
        <v>0.3</v>
      </c>
      <c r="C19" s="2288"/>
      <c r="D19" s="2288"/>
      <c r="E19" s="2288"/>
      <c r="F19" s="2288"/>
      <c r="G19" s="2288"/>
      <c r="H19" s="2288"/>
      <c r="I19" s="2289"/>
      <c r="J19" s="2290">
        <f t="shared" ref="J19:J28" si="0">SUM(P19:AS19)</f>
        <v>18</v>
      </c>
      <c r="K19" s="2291"/>
      <c r="L19" s="2291"/>
      <c r="M19" s="2291"/>
      <c r="N19" s="2291"/>
      <c r="O19" s="2292"/>
      <c r="P19" s="2290" cm="1">
        <f t="array" ref="P19">SUMPRODUCT((Application!$B$718:$B$752 = 'CalHFA Addendum'!P$18)*(Application!$AC$718:$AC$752 = 'CalHFA Addendum'!$B19),Application!$G$718:$G$752)</f>
        <v>0</v>
      </c>
      <c r="Q19" s="2291"/>
      <c r="R19" s="2291"/>
      <c r="S19" s="2291"/>
      <c r="T19" s="2291"/>
      <c r="U19" s="2292"/>
      <c r="V19" s="2290" cm="1">
        <f t="array" ref="V19">SUMPRODUCT((Application!$B$714:$B$738 = 'CalHFA Addendum'!V$18)*(Application!$AC$714:$AC$738 = 'CalHFA Addendum'!$B19),Application!$G$714:$G$738)</f>
        <v>7</v>
      </c>
      <c r="W19" s="2291"/>
      <c r="X19" s="2291"/>
      <c r="Y19" s="2291"/>
      <c r="Z19" s="2291"/>
      <c r="AA19" s="2292"/>
      <c r="AB19" s="2290" cm="1">
        <f t="array" ref="AB19">SUMPRODUCT((Application!$B$714:$B$738 = 'CalHFA Addendum'!AB$18)*(Application!$AC$714:$AC$738 = 'CalHFA Addendum'!$B19),Application!$G$714:$G$738)</f>
        <v>5</v>
      </c>
      <c r="AC19" s="2291"/>
      <c r="AD19" s="2291"/>
      <c r="AE19" s="2291"/>
      <c r="AF19" s="2291"/>
      <c r="AG19" s="2292"/>
      <c r="AH19" s="2290" cm="1">
        <f t="array" ref="AH19">SUMPRODUCT((Application!$B$714:$B$738 = 'CalHFA Addendum'!AH$18)*(Application!$AC$714:$AC$738 = 'CalHFA Addendum'!$B19),Application!$G$714:$G$738)</f>
        <v>4</v>
      </c>
      <c r="AI19" s="2291"/>
      <c r="AJ19" s="2291"/>
      <c r="AK19" s="2291"/>
      <c r="AL19" s="2291"/>
      <c r="AM19" s="2292"/>
      <c r="AN19" s="2290" cm="1">
        <f t="array" ref="AN19">SUMPRODUCT((Application!$B$714:$B$738 = 'CalHFA Addendum'!AN$18)*(Application!$AC$714:$AC$738 = 'CalHFA Addendum'!$B19),Application!$G$714:$G$738)</f>
        <v>2</v>
      </c>
      <c r="AO19" s="2291"/>
      <c r="AP19" s="2291"/>
      <c r="AQ19" s="2291"/>
      <c r="AR19" s="2291"/>
      <c r="AS19" s="2292"/>
      <c r="AT19" s="2293">
        <f t="shared" ref="AT19:AT29" si="1">J19/$J$29</f>
        <v>0.10588235294117647</v>
      </c>
      <c r="AU19" s="2294"/>
      <c r="AV19" s="2294"/>
      <c r="AW19" s="2294"/>
      <c r="AX19" s="2294"/>
      <c r="AY19" s="2295"/>
      <c r="AZ19" s="1220"/>
      <c r="BA19" s="1209"/>
      <c r="BB19" s="1209"/>
      <c r="BC19" s="1209"/>
      <c r="BD19" s="1209"/>
      <c r="BE19" s="1205"/>
    </row>
    <row r="20" spans="1:58" ht="15" customHeight="1">
      <c r="A20" s="1209"/>
      <c r="B20" s="2287">
        <v>0.4</v>
      </c>
      <c r="C20" s="2288"/>
      <c r="D20" s="2288"/>
      <c r="E20" s="2288"/>
      <c r="F20" s="2288"/>
      <c r="G20" s="2288"/>
      <c r="H20" s="2288"/>
      <c r="I20" s="2289"/>
      <c r="J20" s="2290">
        <f t="shared" si="0"/>
        <v>42</v>
      </c>
      <c r="K20" s="2291"/>
      <c r="L20" s="2291"/>
      <c r="M20" s="2291"/>
      <c r="N20" s="2291"/>
      <c r="O20" s="2292"/>
      <c r="P20" s="2290" cm="1">
        <f t="array" ref="P20">SUMPRODUCT((Application!$B$718:$B$752 = 'CalHFA Addendum'!P$18)*(Application!$AC$718:$AC$752 = 'CalHFA Addendum'!$B20),Application!$G$718:$G$752)</f>
        <v>0</v>
      </c>
      <c r="Q20" s="2291"/>
      <c r="R20" s="2291"/>
      <c r="S20" s="2291"/>
      <c r="T20" s="2291"/>
      <c r="U20" s="2292"/>
      <c r="V20" s="2290" cm="1">
        <f t="array" ref="V20">SUMPRODUCT((Application!$B$714:$B$738 = 'CalHFA Addendum'!V$18)*(Application!$AC$714:$AC$738 = 'CalHFA Addendum'!$B20),Application!$G$714:$G$738)</f>
        <v>22</v>
      </c>
      <c r="W20" s="2291"/>
      <c r="X20" s="2291"/>
      <c r="Y20" s="2291"/>
      <c r="Z20" s="2291"/>
      <c r="AA20" s="2292"/>
      <c r="AB20" s="2290" cm="1">
        <f t="array" ref="AB20">SUMPRODUCT((Application!$B$714:$B$738 = 'CalHFA Addendum'!AB$18)*(Application!$AC$714:$AC$738 = 'CalHFA Addendum'!$B20),Application!$G$714:$G$738)</f>
        <v>10</v>
      </c>
      <c r="AC20" s="2291"/>
      <c r="AD20" s="2291"/>
      <c r="AE20" s="2291"/>
      <c r="AF20" s="2291"/>
      <c r="AG20" s="2292"/>
      <c r="AH20" s="2290" cm="1">
        <f t="array" ref="AH20">SUMPRODUCT((Application!$B$714:$B$738 = 'CalHFA Addendum'!AH$18)*(Application!$AC$714:$AC$738 = 'CalHFA Addendum'!$B20),Application!$G$714:$G$738)</f>
        <v>8</v>
      </c>
      <c r="AI20" s="2291"/>
      <c r="AJ20" s="2291"/>
      <c r="AK20" s="2291"/>
      <c r="AL20" s="2291"/>
      <c r="AM20" s="2292"/>
      <c r="AN20" s="2290" cm="1">
        <f t="array" ref="AN20">SUMPRODUCT((Application!$B$714:$B$738 = 'CalHFA Addendum'!AN$18)*(Application!$AC$714:$AC$738 = 'CalHFA Addendum'!$B20),Application!$G$714:$G$738)</f>
        <v>2</v>
      </c>
      <c r="AO20" s="2291"/>
      <c r="AP20" s="2291"/>
      <c r="AQ20" s="2291"/>
      <c r="AR20" s="2291"/>
      <c r="AS20" s="2292"/>
      <c r="AT20" s="2293">
        <f t="shared" si="1"/>
        <v>0.24705882352941178</v>
      </c>
      <c r="AU20" s="2294"/>
      <c r="AV20" s="2294"/>
      <c r="AW20" s="2294"/>
      <c r="AX20" s="2294"/>
      <c r="AY20" s="2295"/>
      <c r="AZ20" s="1209"/>
      <c r="BA20" s="1209"/>
      <c r="BB20" s="1209"/>
      <c r="BC20" s="1209"/>
      <c r="BD20" s="1209"/>
      <c r="BE20" s="1205"/>
    </row>
    <row r="21" spans="1:58" ht="15">
      <c r="A21" s="1209"/>
      <c r="B21" s="2287">
        <v>0.5</v>
      </c>
      <c r="C21" s="2288"/>
      <c r="D21" s="2288"/>
      <c r="E21" s="2288"/>
      <c r="F21" s="2288"/>
      <c r="G21" s="2288"/>
      <c r="H21" s="2288"/>
      <c r="I21" s="2289"/>
      <c r="J21" s="2290">
        <f t="shared" si="0"/>
        <v>53</v>
      </c>
      <c r="K21" s="2291"/>
      <c r="L21" s="2291"/>
      <c r="M21" s="2291"/>
      <c r="N21" s="2291"/>
      <c r="O21" s="2292"/>
      <c r="P21" s="2290" cm="1">
        <f t="array" ref="P21">SUMPRODUCT((Application!$B$714:$B$738 = 'CalHFA Addendum'!P$18)*(Application!$AC$714:$AC$738 = 'CalHFA Addendum'!$B21),Application!$G$714:$G$738)</f>
        <v>0</v>
      </c>
      <c r="Q21" s="2291"/>
      <c r="R21" s="2291"/>
      <c r="S21" s="2291"/>
      <c r="T21" s="2291"/>
      <c r="U21" s="2292"/>
      <c r="V21" s="2290" cm="1">
        <f t="array" ref="V21">SUMPRODUCT((Application!$B$714:$B$738 = 'CalHFA Addendum'!V$18)*(Application!$AC$714:$AC$738 = 'CalHFA Addendum'!$B21),Application!$G$714:$G$738)</f>
        <v>24</v>
      </c>
      <c r="W21" s="2291"/>
      <c r="X21" s="2291"/>
      <c r="Y21" s="2291"/>
      <c r="Z21" s="2291"/>
      <c r="AA21" s="2292"/>
      <c r="AB21" s="2290" cm="1">
        <f t="array" ref="AB21">SUMPRODUCT((Application!$B$714:$B$738 = 'CalHFA Addendum'!AB$18)*(Application!$AC$714:$AC$738 = 'CalHFA Addendum'!$B21),Application!$G$714:$G$738)</f>
        <v>15</v>
      </c>
      <c r="AC21" s="2291"/>
      <c r="AD21" s="2291"/>
      <c r="AE21" s="2291"/>
      <c r="AF21" s="2291"/>
      <c r="AG21" s="2292"/>
      <c r="AH21" s="2290" cm="1">
        <f t="array" ref="AH21">SUMPRODUCT((Application!$B$714:$B$738 = 'CalHFA Addendum'!AH$18)*(Application!$AC$714:$AC$738 = 'CalHFA Addendum'!$B21),Application!$G$714:$G$738)</f>
        <v>10</v>
      </c>
      <c r="AI21" s="2291"/>
      <c r="AJ21" s="2291"/>
      <c r="AK21" s="2291"/>
      <c r="AL21" s="2291"/>
      <c r="AM21" s="2292"/>
      <c r="AN21" s="2290" cm="1">
        <f t="array" ref="AN21">SUMPRODUCT((Application!$B$714:$B$738 = 'CalHFA Addendum'!AN$18)*(Application!$AC$714:$AC$738 = 'CalHFA Addendum'!$B21),Application!$G$714:$G$738)</f>
        <v>4</v>
      </c>
      <c r="AO21" s="2291"/>
      <c r="AP21" s="2291"/>
      <c r="AQ21" s="2291"/>
      <c r="AR21" s="2291"/>
      <c r="AS21" s="2292"/>
      <c r="AT21" s="2293">
        <f t="shared" si="1"/>
        <v>0.31176470588235294</v>
      </c>
      <c r="AU21" s="2294"/>
      <c r="AV21" s="2294"/>
      <c r="AW21" s="2294"/>
      <c r="AX21" s="2294"/>
      <c r="AY21" s="2295"/>
      <c r="AZ21" s="1209"/>
      <c r="BA21" s="1209"/>
      <c r="BB21" s="1209"/>
      <c r="BC21" s="1209"/>
      <c r="BD21" s="1209"/>
      <c r="BE21" s="1205"/>
    </row>
    <row r="22" spans="1:58" ht="15">
      <c r="A22" s="1209"/>
      <c r="B22" s="2287">
        <v>0.6</v>
      </c>
      <c r="C22" s="2288"/>
      <c r="D22" s="2288"/>
      <c r="E22" s="2288"/>
      <c r="F22" s="2288"/>
      <c r="G22" s="2288"/>
      <c r="H22" s="2288"/>
      <c r="I22" s="2289"/>
      <c r="J22" s="2290">
        <f t="shared" si="0"/>
        <v>36</v>
      </c>
      <c r="K22" s="2291"/>
      <c r="L22" s="2291"/>
      <c r="M22" s="2291"/>
      <c r="N22" s="2291"/>
      <c r="O22" s="2292"/>
      <c r="P22" s="2290" cm="1">
        <f t="array" ref="P22">SUMPRODUCT((Application!$B$714:$B$738 = 'CalHFA Addendum'!P$18)*(Application!$AC$714:$AC$738 = 'CalHFA Addendum'!$B22),Application!$G$714:$G$738)</f>
        <v>0</v>
      </c>
      <c r="Q22" s="2291"/>
      <c r="R22" s="2291"/>
      <c r="S22" s="2291"/>
      <c r="T22" s="2291"/>
      <c r="U22" s="2292"/>
      <c r="V22" s="2290" cm="1">
        <f t="array" ref="V22">SUMPRODUCT((Application!$B$714:$B$738 = 'CalHFA Addendum'!V$18)*(Application!$AC$714:$AC$738 = 'CalHFA Addendum'!$B22),Application!$G$714:$G$738)</f>
        <v>17</v>
      </c>
      <c r="W22" s="2291"/>
      <c r="X22" s="2291"/>
      <c r="Y22" s="2291"/>
      <c r="Z22" s="2291"/>
      <c r="AA22" s="2292"/>
      <c r="AB22" s="2290" cm="1">
        <f t="array" ref="AB22">SUMPRODUCT((Application!$B$714:$B$738 = 'CalHFA Addendum'!AB$18)*(Application!$AC$714:$AC$738 = 'CalHFA Addendum'!$B22),Application!$G$714:$G$738)</f>
        <v>10</v>
      </c>
      <c r="AC22" s="2291"/>
      <c r="AD22" s="2291"/>
      <c r="AE22" s="2291"/>
      <c r="AF22" s="2291"/>
      <c r="AG22" s="2292"/>
      <c r="AH22" s="2290" cm="1">
        <f t="array" ref="AH22">SUMPRODUCT((Application!$B$714:$B$738 = 'CalHFA Addendum'!AH$18)*(Application!$AC$714:$AC$738 = 'CalHFA Addendum'!$B22),Application!$G$714:$G$738)</f>
        <v>9</v>
      </c>
      <c r="AI22" s="2291"/>
      <c r="AJ22" s="2291"/>
      <c r="AK22" s="2291"/>
      <c r="AL22" s="2291"/>
      <c r="AM22" s="2292"/>
      <c r="AN22" s="2290" cm="1">
        <f t="array" ref="AN22">SUMPRODUCT((Application!$B$714:$B$738 = 'CalHFA Addendum'!AN$18)*(Application!$AC$714:$AC$738 = 'CalHFA Addendum'!$B22),Application!$G$714:$G$738)</f>
        <v>0</v>
      </c>
      <c r="AO22" s="2291"/>
      <c r="AP22" s="2291"/>
      <c r="AQ22" s="2291"/>
      <c r="AR22" s="2291"/>
      <c r="AS22" s="2292"/>
      <c r="AT22" s="2293">
        <f t="shared" si="1"/>
        <v>0.21176470588235294</v>
      </c>
      <c r="AU22" s="2294"/>
      <c r="AV22" s="2294"/>
      <c r="AW22" s="2294"/>
      <c r="AX22" s="2294"/>
      <c r="AY22" s="2295"/>
      <c r="AZ22" s="1209"/>
      <c r="BA22" s="1209"/>
      <c r="BB22" s="1209"/>
      <c r="BC22" s="1209"/>
      <c r="BD22" s="1209"/>
      <c r="BE22" s="1205"/>
    </row>
    <row r="23" spans="1:58" ht="15">
      <c r="A23" s="1209"/>
      <c r="B23" s="2287">
        <v>0.7</v>
      </c>
      <c r="C23" s="2288"/>
      <c r="D23" s="2288"/>
      <c r="E23" s="2288"/>
      <c r="F23" s="2288"/>
      <c r="G23" s="2288"/>
      <c r="H23" s="2288"/>
      <c r="I23" s="2289"/>
      <c r="J23" s="2290">
        <f t="shared" si="0"/>
        <v>21</v>
      </c>
      <c r="K23" s="2291"/>
      <c r="L23" s="2291"/>
      <c r="M23" s="2291"/>
      <c r="N23" s="2291"/>
      <c r="O23" s="2292"/>
      <c r="P23" s="2290" cm="1">
        <f t="array" ref="P23">SUMPRODUCT((Application!$B$714:$B$738 = 'CalHFA Addendum'!P$18)*(Application!$AC$714:$AC$738 = 'CalHFA Addendum'!$B23),Application!$G$714:$G$738)</f>
        <v>0</v>
      </c>
      <c r="Q23" s="2291"/>
      <c r="R23" s="2291"/>
      <c r="S23" s="2291"/>
      <c r="T23" s="2291"/>
      <c r="U23" s="2292"/>
      <c r="V23" s="2290" cm="1">
        <f t="array" ref="V23">SUMPRODUCT((Application!$B$714:$B$738 = 'CalHFA Addendum'!V$18)*(Application!$AC$714:$AC$738 = 'CalHFA Addendum'!$B23),Application!$G$714:$G$738)</f>
        <v>8</v>
      </c>
      <c r="W23" s="2291"/>
      <c r="X23" s="2291"/>
      <c r="Y23" s="2291"/>
      <c r="Z23" s="2291"/>
      <c r="AA23" s="2292"/>
      <c r="AB23" s="2290" cm="1">
        <f t="array" ref="AB23">SUMPRODUCT((Application!$B$714:$B$738 = 'CalHFA Addendum'!AB$18)*(Application!$AC$714:$AC$738 = 'CalHFA Addendum'!$B23),Application!$G$714:$G$738)</f>
        <v>8</v>
      </c>
      <c r="AC23" s="2291"/>
      <c r="AD23" s="2291"/>
      <c r="AE23" s="2291"/>
      <c r="AF23" s="2291"/>
      <c r="AG23" s="2292"/>
      <c r="AH23" s="2290" cm="1">
        <f t="array" ref="AH23">SUMPRODUCT((Application!$B$714:$B$738 = 'CalHFA Addendum'!AH$18)*(Application!$AC$714:$AC$738 = 'CalHFA Addendum'!$B23),Application!$G$714:$G$738)</f>
        <v>5</v>
      </c>
      <c r="AI23" s="2291"/>
      <c r="AJ23" s="2291"/>
      <c r="AK23" s="2291"/>
      <c r="AL23" s="2291"/>
      <c r="AM23" s="2292"/>
      <c r="AN23" s="2290" cm="1">
        <f t="array" ref="AN23">SUMPRODUCT((Application!$B$714:$B$738 = 'CalHFA Addendum'!AN$18)*(Application!$AC$714:$AC$738 = 'CalHFA Addendum'!$B23),Application!$G$714:$G$738)</f>
        <v>0</v>
      </c>
      <c r="AO23" s="2291"/>
      <c r="AP23" s="2291"/>
      <c r="AQ23" s="2291"/>
      <c r="AR23" s="2291"/>
      <c r="AS23" s="2292"/>
      <c r="AT23" s="2293">
        <f t="shared" si="1"/>
        <v>0.12352941176470589</v>
      </c>
      <c r="AU23" s="2294"/>
      <c r="AV23" s="2294"/>
      <c r="AW23" s="2294"/>
      <c r="AX23" s="2294"/>
      <c r="AY23" s="2295"/>
      <c r="AZ23" s="1209"/>
      <c r="BA23" s="1209"/>
      <c r="BB23" s="1209"/>
      <c r="BC23" s="1209"/>
      <c r="BD23" s="1209"/>
      <c r="BE23" s="1205"/>
    </row>
    <row r="24" spans="1:58" ht="15">
      <c r="A24" s="1209"/>
      <c r="B24" s="2287">
        <v>0.8</v>
      </c>
      <c r="C24" s="2288"/>
      <c r="D24" s="2288"/>
      <c r="E24" s="2288"/>
      <c r="F24" s="2288"/>
      <c r="G24" s="2288"/>
      <c r="H24" s="2288"/>
      <c r="I24" s="2289"/>
      <c r="J24" s="2290">
        <f t="shared" si="0"/>
        <v>0</v>
      </c>
      <c r="K24" s="2291"/>
      <c r="L24" s="2291"/>
      <c r="M24" s="2291"/>
      <c r="N24" s="2291"/>
      <c r="O24" s="2292"/>
      <c r="P24" s="2290" cm="1">
        <f t="array" ref="P24">SUMPRODUCT((Application!$B$714:$B$738 = 'CalHFA Addendum'!P$18)*(Application!$AC$714:$AC$738 = 'CalHFA Addendum'!$B24),Application!$G$714:$G$738)</f>
        <v>0</v>
      </c>
      <c r="Q24" s="2291"/>
      <c r="R24" s="2291"/>
      <c r="S24" s="2291"/>
      <c r="T24" s="2291"/>
      <c r="U24" s="2292"/>
      <c r="V24" s="2290" cm="1">
        <f t="array" ref="V24">SUMPRODUCT((Application!$B$714:$B$738 = 'CalHFA Addendum'!V$18)*(Application!$AC$714:$AC$738 = 'CalHFA Addendum'!$B24),Application!$G$714:$G$738)</f>
        <v>0</v>
      </c>
      <c r="W24" s="2291"/>
      <c r="X24" s="2291"/>
      <c r="Y24" s="2291"/>
      <c r="Z24" s="2291"/>
      <c r="AA24" s="2292"/>
      <c r="AB24" s="2290" cm="1">
        <f t="array" ref="AB24">SUMPRODUCT((Application!$B$714:$B$738 = 'CalHFA Addendum'!AB$18)*(Application!$AC$714:$AC$738 = 'CalHFA Addendum'!$B24),Application!$G$714:$G$738)</f>
        <v>0</v>
      </c>
      <c r="AC24" s="2291"/>
      <c r="AD24" s="2291"/>
      <c r="AE24" s="2291"/>
      <c r="AF24" s="2291"/>
      <c r="AG24" s="2292"/>
      <c r="AH24" s="2290" cm="1">
        <f t="array" ref="AH24">SUMPRODUCT((Application!$B$714:$B$738 = 'CalHFA Addendum'!AH$18)*(Application!$AC$714:$AC$738 = 'CalHFA Addendum'!$B24),Application!$G$714:$G$738)</f>
        <v>0</v>
      </c>
      <c r="AI24" s="2291"/>
      <c r="AJ24" s="2291"/>
      <c r="AK24" s="2291"/>
      <c r="AL24" s="2291"/>
      <c r="AM24" s="2292"/>
      <c r="AN24" s="2290" cm="1">
        <f t="array" ref="AN24">SUMPRODUCT((Application!$B$714:$B$738 = 'CalHFA Addendum'!AN$18)*(Application!$AC$714:$AC$738 = 'CalHFA Addendum'!$B24),Application!$G$714:$G$738)</f>
        <v>0</v>
      </c>
      <c r="AO24" s="2291"/>
      <c r="AP24" s="2291"/>
      <c r="AQ24" s="2291"/>
      <c r="AR24" s="2291"/>
      <c r="AS24" s="2292"/>
      <c r="AT24" s="2293">
        <f t="shared" si="1"/>
        <v>0</v>
      </c>
      <c r="AU24" s="2294"/>
      <c r="AV24" s="2294"/>
      <c r="AW24" s="2294"/>
      <c r="AX24" s="2294"/>
      <c r="AY24" s="2295"/>
      <c r="AZ24" s="1209"/>
      <c r="BA24" s="1209"/>
      <c r="BB24" s="1209"/>
      <c r="BC24" s="1209"/>
      <c r="BD24" s="1209"/>
      <c r="BE24" s="1205"/>
    </row>
    <row r="25" spans="1:58" ht="15">
      <c r="A25" s="1209"/>
      <c r="B25" s="2287">
        <v>0.9</v>
      </c>
      <c r="C25" s="2288"/>
      <c r="D25" s="2288"/>
      <c r="E25" s="2288"/>
      <c r="F25" s="2288"/>
      <c r="G25" s="2288"/>
      <c r="H25" s="2288"/>
      <c r="I25" s="2289"/>
      <c r="J25" s="2290">
        <f t="shared" si="0"/>
        <v>0</v>
      </c>
      <c r="K25" s="2291"/>
      <c r="L25" s="2291"/>
      <c r="M25" s="2291"/>
      <c r="N25" s="2291"/>
      <c r="O25" s="2292"/>
      <c r="P25" s="2290" cm="1">
        <f t="array" ref="P25">SUMPRODUCT((Application!$B$714:$B$738 = 'CalHFA Addendum'!P$18)*(Application!$AC$714:$AC$738 = 'CalHFA Addendum'!$B25),Application!$G$714:$G$738)</f>
        <v>0</v>
      </c>
      <c r="Q25" s="2291"/>
      <c r="R25" s="2291"/>
      <c r="S25" s="2291"/>
      <c r="T25" s="2291"/>
      <c r="U25" s="2292"/>
      <c r="V25" s="2290" cm="1">
        <f t="array" ref="V25">SUMPRODUCT((Application!$B$714:$B$738 = 'CalHFA Addendum'!V$18)*(Application!$AC$714:$AC$738 = 'CalHFA Addendum'!$B25),Application!$G$714:$G$738)</f>
        <v>0</v>
      </c>
      <c r="W25" s="2291"/>
      <c r="X25" s="2291"/>
      <c r="Y25" s="2291"/>
      <c r="Z25" s="2291"/>
      <c r="AA25" s="2292"/>
      <c r="AB25" s="2290" cm="1">
        <f t="array" ref="AB25">SUMPRODUCT((Application!$B$714:$B$738 = 'CalHFA Addendum'!AB$18)*(Application!$AC$714:$AC$738 = 'CalHFA Addendum'!$B25),Application!$G$714:$G$738)</f>
        <v>0</v>
      </c>
      <c r="AC25" s="2291"/>
      <c r="AD25" s="2291"/>
      <c r="AE25" s="2291"/>
      <c r="AF25" s="2291"/>
      <c r="AG25" s="2292"/>
      <c r="AH25" s="2290" cm="1">
        <f t="array" ref="AH25">SUMPRODUCT((Application!$B$714:$B$738 = 'CalHFA Addendum'!AH$18)*(Application!$AC$714:$AC$738 = 'CalHFA Addendum'!$B25),Application!$G$714:$G$738)</f>
        <v>0</v>
      </c>
      <c r="AI25" s="2291"/>
      <c r="AJ25" s="2291"/>
      <c r="AK25" s="2291"/>
      <c r="AL25" s="2291"/>
      <c r="AM25" s="2292"/>
      <c r="AN25" s="2290" cm="1">
        <f t="array" ref="AN25">SUMPRODUCT((Application!$B$714:$B$738 = 'CalHFA Addendum'!AN$18)*(Application!$AC$714:$AC$738 = 'CalHFA Addendum'!$B25),Application!$G$714:$G$738)</f>
        <v>0</v>
      </c>
      <c r="AO25" s="2291"/>
      <c r="AP25" s="2291"/>
      <c r="AQ25" s="2291"/>
      <c r="AR25" s="2291"/>
      <c r="AS25" s="2292"/>
      <c r="AT25" s="2293">
        <f t="shared" si="1"/>
        <v>0</v>
      </c>
      <c r="AU25" s="2294"/>
      <c r="AV25" s="2294"/>
      <c r="AW25" s="2294"/>
      <c r="AX25" s="2294"/>
      <c r="AY25" s="2295"/>
      <c r="AZ25" s="1209"/>
      <c r="BA25" s="1209"/>
      <c r="BB25" s="1209"/>
      <c r="BC25" s="1209"/>
      <c r="BD25" s="1209"/>
      <c r="BE25" s="1205"/>
    </row>
    <row r="26" spans="1:58" ht="15">
      <c r="A26" s="1209"/>
      <c r="B26" s="2287">
        <v>1</v>
      </c>
      <c r="C26" s="2288"/>
      <c r="D26" s="2288"/>
      <c r="E26" s="2288"/>
      <c r="F26" s="2288"/>
      <c r="G26" s="2288"/>
      <c r="H26" s="2288"/>
      <c r="I26" s="2289"/>
      <c r="J26" s="2290">
        <f t="shared" si="0"/>
        <v>0</v>
      </c>
      <c r="K26" s="2291"/>
      <c r="L26" s="2291"/>
      <c r="M26" s="2291"/>
      <c r="N26" s="2291"/>
      <c r="O26" s="2292"/>
      <c r="P26" s="2290" cm="1">
        <f t="array" ref="P26">SUMPRODUCT((Application!$B$714:$B$738 = 'CalHFA Addendum'!P$18)*(Application!$AC$714:$AC$738 = 'CalHFA Addendum'!$B26),Application!$G$714:$G$738)</f>
        <v>0</v>
      </c>
      <c r="Q26" s="2291"/>
      <c r="R26" s="2291"/>
      <c r="S26" s="2291"/>
      <c r="T26" s="2291"/>
      <c r="U26" s="2292"/>
      <c r="V26" s="2290" cm="1">
        <f t="array" ref="V26">SUMPRODUCT((Application!$B$714:$B$738 = 'CalHFA Addendum'!V$18)*(Application!$AC$714:$AC$738 = 'CalHFA Addendum'!$B26),Application!$G$714:$G$738)</f>
        <v>0</v>
      </c>
      <c r="W26" s="2291"/>
      <c r="X26" s="2291"/>
      <c r="Y26" s="2291"/>
      <c r="Z26" s="2291"/>
      <c r="AA26" s="2292"/>
      <c r="AB26" s="2290" cm="1">
        <f t="array" ref="AB26">SUMPRODUCT((Application!$B$714:$B$738 = 'CalHFA Addendum'!AB$18)*(Application!$AC$714:$AC$738 = 'CalHFA Addendum'!$B26),Application!$G$714:$G$738)</f>
        <v>0</v>
      </c>
      <c r="AC26" s="2291"/>
      <c r="AD26" s="2291"/>
      <c r="AE26" s="2291"/>
      <c r="AF26" s="2291"/>
      <c r="AG26" s="2292"/>
      <c r="AH26" s="2290" cm="1">
        <f t="array" ref="AH26">SUMPRODUCT((Application!$B$714:$B$738 = 'CalHFA Addendum'!AH$18)*(Application!$AC$714:$AC$738 = 'CalHFA Addendum'!$B26),Application!$G$714:$G$738)</f>
        <v>0</v>
      </c>
      <c r="AI26" s="2291"/>
      <c r="AJ26" s="2291"/>
      <c r="AK26" s="2291"/>
      <c r="AL26" s="2291"/>
      <c r="AM26" s="2292"/>
      <c r="AN26" s="2290" cm="1">
        <f t="array" ref="AN26">SUMPRODUCT((Application!$B$714:$B$738 = 'CalHFA Addendum'!AN$18)*(Application!$AC$714:$AC$738 = 'CalHFA Addendum'!$B26),Application!$G$714:$G$738)</f>
        <v>0</v>
      </c>
      <c r="AO26" s="2291"/>
      <c r="AP26" s="2291"/>
      <c r="AQ26" s="2291"/>
      <c r="AR26" s="2291"/>
      <c r="AS26" s="2292"/>
      <c r="AT26" s="2293">
        <f t="shared" si="1"/>
        <v>0</v>
      </c>
      <c r="AU26" s="2294"/>
      <c r="AV26" s="2294"/>
      <c r="AW26" s="2294"/>
      <c r="AX26" s="2294"/>
      <c r="AY26" s="2295"/>
      <c r="AZ26" s="1209"/>
      <c r="BA26" s="1209"/>
      <c r="BB26" s="1209"/>
      <c r="BC26" s="1209"/>
      <c r="BD26" s="1209"/>
      <c r="BE26" s="1205"/>
    </row>
    <row r="27" spans="1:58" ht="15">
      <c r="A27" s="1209"/>
      <c r="B27" s="2287">
        <v>1.1000000000000001</v>
      </c>
      <c r="C27" s="2288"/>
      <c r="D27" s="2288"/>
      <c r="E27" s="2288"/>
      <c r="F27" s="2288"/>
      <c r="G27" s="2288"/>
      <c r="H27" s="2288"/>
      <c r="I27" s="2289"/>
      <c r="J27" s="2290">
        <f t="shared" si="0"/>
        <v>0</v>
      </c>
      <c r="K27" s="2291"/>
      <c r="L27" s="2291"/>
      <c r="M27" s="2291"/>
      <c r="N27" s="2291"/>
      <c r="O27" s="2292"/>
      <c r="P27" s="2290" cm="1">
        <f t="array" ref="P27">SUMPRODUCT((Application!$B$714:$B$738 = 'CalHFA Addendum'!P$18)*(Application!$AC$714:$AC$738 = 'CalHFA Addendum'!$B27),Application!$G$714:$G$738)</f>
        <v>0</v>
      </c>
      <c r="Q27" s="2291"/>
      <c r="R27" s="2291"/>
      <c r="S27" s="2291"/>
      <c r="T27" s="2291"/>
      <c r="U27" s="2292"/>
      <c r="V27" s="2290" cm="1">
        <f t="array" ref="V27">SUMPRODUCT((Application!$B$714:$B$738 = 'CalHFA Addendum'!V$18)*(Application!$AC$714:$AC$738 = 'CalHFA Addendum'!$B27),Application!$G$714:$G$738)</f>
        <v>0</v>
      </c>
      <c r="W27" s="2291"/>
      <c r="X27" s="2291"/>
      <c r="Y27" s="2291"/>
      <c r="Z27" s="2291"/>
      <c r="AA27" s="2292"/>
      <c r="AB27" s="2290" cm="1">
        <f t="array" ref="AB27">SUMPRODUCT((Application!$B$714:$B$738 = 'CalHFA Addendum'!AB$18)*(Application!$AC$714:$AC$738 = 'CalHFA Addendum'!$B27),Application!$G$714:$G$738)</f>
        <v>0</v>
      </c>
      <c r="AC27" s="2291"/>
      <c r="AD27" s="2291"/>
      <c r="AE27" s="2291"/>
      <c r="AF27" s="2291"/>
      <c r="AG27" s="2292"/>
      <c r="AH27" s="2290" cm="1">
        <f t="array" ref="AH27">SUMPRODUCT((Application!$B$714:$B$738 = 'CalHFA Addendum'!AH$18)*(Application!$AC$714:$AC$738 = 'CalHFA Addendum'!$B27),Application!$G$714:$G$738)</f>
        <v>0</v>
      </c>
      <c r="AI27" s="2291"/>
      <c r="AJ27" s="2291"/>
      <c r="AK27" s="2291"/>
      <c r="AL27" s="2291"/>
      <c r="AM27" s="2292"/>
      <c r="AN27" s="2290" cm="1">
        <f t="array" ref="AN27">SUMPRODUCT((Application!$B$714:$B$738 = 'CalHFA Addendum'!AN$18)*(Application!$AC$714:$AC$738 = 'CalHFA Addendum'!$B27),Application!$G$714:$G$738)</f>
        <v>0</v>
      </c>
      <c r="AO27" s="2291"/>
      <c r="AP27" s="2291"/>
      <c r="AQ27" s="2291"/>
      <c r="AR27" s="2291"/>
      <c r="AS27" s="2292"/>
      <c r="AT27" s="2293">
        <f t="shared" si="1"/>
        <v>0</v>
      </c>
      <c r="AU27" s="2294"/>
      <c r="AV27" s="2294"/>
      <c r="AW27" s="2294"/>
      <c r="AX27" s="2294"/>
      <c r="AY27" s="2295"/>
      <c r="AZ27" s="1209"/>
      <c r="BA27" s="1209"/>
      <c r="BB27" s="1209"/>
      <c r="BC27" s="1209"/>
      <c r="BD27" s="1209"/>
      <c r="BE27" s="1205"/>
    </row>
    <row r="28" spans="1:58" thickBot="1">
      <c r="A28" s="1209"/>
      <c r="B28" s="2306" t="s">
        <v>1800</v>
      </c>
      <c r="C28" s="2307"/>
      <c r="D28" s="2307"/>
      <c r="E28" s="2307"/>
      <c r="F28" s="2307"/>
      <c r="G28" s="2307"/>
      <c r="H28" s="2307"/>
      <c r="I28" s="2308"/>
      <c r="J28" s="2309">
        <f t="shared" si="0"/>
        <v>0</v>
      </c>
      <c r="K28" s="2310"/>
      <c r="L28" s="2310"/>
      <c r="M28" s="2310"/>
      <c r="N28" s="2310"/>
      <c r="O28" s="2311"/>
      <c r="P28" s="2309">
        <f>_xlfn.IFNA(VLOOKUP(P$18,Application!$J$758:$S$761,6,FALSE), 0)</f>
        <v>0</v>
      </c>
      <c r="Q28" s="2310"/>
      <c r="R28" s="2310"/>
      <c r="S28" s="2310"/>
      <c r="T28" s="2310"/>
      <c r="U28" s="2311"/>
      <c r="V28" s="2309">
        <f>_xlfn.IFNA(VLOOKUP(V$18,Application!$J$758:$S$761,6,FALSE), 0)</f>
        <v>0</v>
      </c>
      <c r="W28" s="2310"/>
      <c r="X28" s="2310"/>
      <c r="Y28" s="2310"/>
      <c r="Z28" s="2310"/>
      <c r="AA28" s="2311"/>
      <c r="AB28" s="2309">
        <f>_xlfn.IFNA(VLOOKUP(AB$18,Application!$J$758:$S$761,6,FALSE), 0)</f>
        <v>0</v>
      </c>
      <c r="AC28" s="2310"/>
      <c r="AD28" s="2310"/>
      <c r="AE28" s="2310"/>
      <c r="AF28" s="2310"/>
      <c r="AG28" s="2311"/>
      <c r="AH28" s="2309">
        <f>_xlfn.IFNA(VLOOKUP(AH$18,Application!$J$758:$S$761,6,FALSE), 0)</f>
        <v>0</v>
      </c>
      <c r="AI28" s="2310"/>
      <c r="AJ28" s="2310"/>
      <c r="AK28" s="2310"/>
      <c r="AL28" s="2310"/>
      <c r="AM28" s="2311"/>
      <c r="AN28" s="2309">
        <f>_xlfn.IFNA(VLOOKUP(AN$18,Application!$J$758:$S$761,6,FALSE), 0)</f>
        <v>0</v>
      </c>
      <c r="AO28" s="2310"/>
      <c r="AP28" s="2310"/>
      <c r="AQ28" s="2310"/>
      <c r="AR28" s="2310"/>
      <c r="AS28" s="2311"/>
      <c r="AT28" s="2312">
        <f t="shared" si="1"/>
        <v>0</v>
      </c>
      <c r="AU28" s="2313"/>
      <c r="AV28" s="2313"/>
      <c r="AW28" s="2313"/>
      <c r="AX28" s="2313"/>
      <c r="AY28" s="2314"/>
      <c r="AZ28" s="1209"/>
      <c r="BA28" s="1209"/>
      <c r="BB28" s="1209"/>
      <c r="BC28" s="1209"/>
      <c r="BD28" s="1209"/>
      <c r="BE28" s="1205"/>
    </row>
    <row r="29" spans="1:58" thickBot="1">
      <c r="A29" s="1209"/>
      <c r="B29" s="2321" t="s">
        <v>1699</v>
      </c>
      <c r="C29" s="2322"/>
      <c r="D29" s="2322"/>
      <c r="E29" s="2322"/>
      <c r="F29" s="2322"/>
      <c r="G29" s="2322"/>
      <c r="H29" s="2322"/>
      <c r="I29" s="2323"/>
      <c r="J29" s="2324">
        <f>SUM(J19:O28)</f>
        <v>170</v>
      </c>
      <c r="K29" s="2322"/>
      <c r="L29" s="2322"/>
      <c r="M29" s="2322"/>
      <c r="N29" s="2322"/>
      <c r="O29" s="2323"/>
      <c r="P29" s="2324">
        <f>SUM(P19:U28)</f>
        <v>0</v>
      </c>
      <c r="Q29" s="2322"/>
      <c r="R29" s="2322"/>
      <c r="S29" s="2322"/>
      <c r="T29" s="2322"/>
      <c r="U29" s="2323"/>
      <c r="V29" s="2324">
        <f>SUM(V19:AA28)</f>
        <v>78</v>
      </c>
      <c r="W29" s="2322"/>
      <c r="X29" s="2322"/>
      <c r="Y29" s="2322"/>
      <c r="Z29" s="2322"/>
      <c r="AA29" s="2323"/>
      <c r="AB29" s="2324">
        <f>SUM(AB19:AG28)</f>
        <v>48</v>
      </c>
      <c r="AC29" s="2322"/>
      <c r="AD29" s="2322"/>
      <c r="AE29" s="2322"/>
      <c r="AF29" s="2322"/>
      <c r="AG29" s="2323"/>
      <c r="AH29" s="2324">
        <f>SUM(AH19:AM28)</f>
        <v>36</v>
      </c>
      <c r="AI29" s="2322"/>
      <c r="AJ29" s="2322"/>
      <c r="AK29" s="2322"/>
      <c r="AL29" s="2322"/>
      <c r="AM29" s="2323"/>
      <c r="AN29" s="2324">
        <f>SUM(AN19:AS28)</f>
        <v>8</v>
      </c>
      <c r="AO29" s="2322"/>
      <c r="AP29" s="2322"/>
      <c r="AQ29" s="2322"/>
      <c r="AR29" s="2322"/>
      <c r="AS29" s="2323"/>
      <c r="AT29" s="2341">
        <f t="shared" si="1"/>
        <v>1</v>
      </c>
      <c r="AU29" s="2342"/>
      <c r="AV29" s="2342"/>
      <c r="AW29" s="2342"/>
      <c r="AX29" s="2342"/>
      <c r="AY29" s="2343"/>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9" t="s">
        <v>1801</v>
      </c>
      <c r="C31" s="2330"/>
      <c r="D31" s="2330"/>
      <c r="E31" s="2330"/>
      <c r="F31" s="2330"/>
      <c r="G31" s="2330"/>
      <c r="H31" s="2330"/>
      <c r="I31" s="2330"/>
      <c r="J31" s="2330"/>
      <c r="K31" s="2330"/>
      <c r="L31" s="2330"/>
      <c r="M31" s="2330"/>
      <c r="N31" s="2330"/>
      <c r="O31" s="2330"/>
      <c r="P31" s="2330"/>
      <c r="Q31" s="2330"/>
      <c r="R31" s="2330"/>
      <c r="S31" s="2330"/>
      <c r="T31" s="2330"/>
      <c r="U31" s="2330"/>
      <c r="V31" s="2330"/>
      <c r="W31" s="2330"/>
      <c r="X31" s="2330"/>
      <c r="Y31" s="2330"/>
      <c r="Z31" s="2330"/>
      <c r="AA31" s="2330"/>
      <c r="AB31" s="2330"/>
      <c r="AC31" s="2330"/>
      <c r="AD31" s="2330"/>
      <c r="AE31" s="2330"/>
      <c r="AF31" s="2330"/>
      <c r="AG31" s="2330"/>
      <c r="AH31" s="2330"/>
      <c r="AI31" s="2330"/>
      <c r="AJ31" s="2330"/>
      <c r="AK31" s="2330"/>
      <c r="AL31" s="2330"/>
      <c r="AM31" s="2330"/>
      <c r="AN31" s="2330"/>
      <c r="AO31" s="2330"/>
      <c r="AP31" s="2330"/>
      <c r="AQ31" s="2330"/>
      <c r="AR31" s="2330"/>
      <c r="AS31" s="2330"/>
      <c r="AT31" s="2330"/>
      <c r="AU31" s="2330"/>
      <c r="AV31" s="2330"/>
      <c r="AW31" s="2330"/>
      <c r="AX31" s="2330"/>
      <c r="AY31" s="2330"/>
      <c r="AZ31" s="2330"/>
      <c r="BA31" s="2330"/>
      <c r="BB31" s="2330"/>
      <c r="BC31" s="2330"/>
      <c r="BD31" s="2331"/>
      <c r="BE31" s="1205"/>
    </row>
    <row r="32" spans="1:58" thickBot="1">
      <c r="A32" s="1209"/>
      <c r="B32" s="2344" t="s">
        <v>2469</v>
      </c>
      <c r="C32" s="2345"/>
      <c r="D32" s="2345"/>
      <c r="E32" s="2345"/>
      <c r="F32" s="2345"/>
      <c r="G32" s="2345"/>
      <c r="H32" s="2345"/>
      <c r="I32" s="2345"/>
      <c r="J32" s="2315" t="s">
        <v>2470</v>
      </c>
      <c r="K32" s="2316"/>
      <c r="L32" s="2316"/>
      <c r="M32" s="2316"/>
      <c r="N32" s="2315" t="s">
        <v>1802</v>
      </c>
      <c r="O32" s="2316"/>
      <c r="P32" s="2316"/>
      <c r="Q32" s="2318"/>
      <c r="R32" s="2338" t="s">
        <v>1803</v>
      </c>
      <c r="S32" s="2339"/>
      <c r="T32" s="2339"/>
      <c r="U32" s="2339"/>
      <c r="V32" s="2339"/>
      <c r="W32" s="2339"/>
      <c r="X32" s="2339"/>
      <c r="Y32" s="2339"/>
      <c r="Z32" s="2339"/>
      <c r="AA32" s="2339"/>
      <c r="AB32" s="2339"/>
      <c r="AC32" s="2339"/>
      <c r="AD32" s="2339"/>
      <c r="AE32" s="2339"/>
      <c r="AF32" s="2339"/>
      <c r="AG32" s="2339"/>
      <c r="AH32" s="2339"/>
      <c r="AI32" s="2339"/>
      <c r="AJ32" s="2339"/>
      <c r="AK32" s="2339"/>
      <c r="AL32" s="2339"/>
      <c r="AM32" s="2339"/>
      <c r="AN32" s="2339"/>
      <c r="AO32" s="2339"/>
      <c r="AP32" s="2339"/>
      <c r="AQ32" s="2339"/>
      <c r="AR32" s="2339"/>
      <c r="AS32" s="2339"/>
      <c r="AT32" s="2339"/>
      <c r="AU32" s="2339"/>
      <c r="AV32" s="2339"/>
      <c r="AW32" s="2339"/>
      <c r="AX32" s="2339"/>
      <c r="AY32" s="2339"/>
      <c r="AZ32" s="2339"/>
      <c r="BA32" s="2339"/>
      <c r="BB32" s="2339"/>
      <c r="BC32" s="2339"/>
      <c r="BD32" s="2340"/>
      <c r="BE32" s="1205"/>
    </row>
    <row r="33" spans="1:58" ht="15" customHeight="1">
      <c r="A33" s="1209"/>
      <c r="B33" s="2346"/>
      <c r="C33" s="2347"/>
      <c r="D33" s="2347"/>
      <c r="E33" s="2347"/>
      <c r="F33" s="2347"/>
      <c r="G33" s="2347"/>
      <c r="H33" s="2347"/>
      <c r="I33" s="2347"/>
      <c r="J33" s="2317"/>
      <c r="K33" s="2317"/>
      <c r="L33" s="2317"/>
      <c r="M33" s="2317"/>
      <c r="N33" s="2317"/>
      <c r="O33" s="2317"/>
      <c r="P33" s="2317"/>
      <c r="Q33" s="2319"/>
      <c r="R33" s="2332" t="s">
        <v>1804</v>
      </c>
      <c r="S33" s="2333"/>
      <c r="T33" s="2333"/>
      <c r="U33" s="2333"/>
      <c r="V33" s="2333"/>
      <c r="W33" s="2333"/>
      <c r="X33" s="2333"/>
      <c r="Y33" s="2333"/>
      <c r="Z33" s="2333"/>
      <c r="AA33" s="2333"/>
      <c r="AB33" s="2333"/>
      <c r="AC33" s="2333"/>
      <c r="AD33" s="2333"/>
      <c r="AE33" s="2333"/>
      <c r="AF33" s="2333"/>
      <c r="AG33" s="2333"/>
      <c r="AH33" s="2333"/>
      <c r="AI33" s="2333"/>
      <c r="AJ33" s="2333"/>
      <c r="AK33" s="2333"/>
      <c r="AL33" s="2333"/>
      <c r="AM33" s="2333"/>
      <c r="AN33" s="2333"/>
      <c r="AO33" s="2333"/>
      <c r="AP33" s="2333"/>
      <c r="AQ33" s="2333"/>
      <c r="AR33" s="2333"/>
      <c r="AS33" s="2333"/>
      <c r="AT33" s="2333"/>
      <c r="AU33" s="2333"/>
      <c r="AV33" s="2333"/>
      <c r="AW33" s="2333"/>
      <c r="AX33" s="2333"/>
      <c r="AY33" s="2333"/>
      <c r="AZ33" s="2333"/>
      <c r="BA33" s="2333"/>
      <c r="BB33" s="2333"/>
      <c r="BC33" s="2333"/>
      <c r="BD33" s="2334"/>
      <c r="BE33" s="1205"/>
    </row>
    <row r="34" spans="1:58" ht="15.75" customHeight="1" thickBot="1">
      <c r="A34" s="1209"/>
      <c r="B34" s="2346"/>
      <c r="C34" s="2347"/>
      <c r="D34" s="2347"/>
      <c r="E34" s="2347"/>
      <c r="F34" s="2347"/>
      <c r="G34" s="2347"/>
      <c r="H34" s="2347"/>
      <c r="I34" s="2347"/>
      <c r="J34" s="2317"/>
      <c r="K34" s="2317"/>
      <c r="L34" s="2317"/>
      <c r="M34" s="2317"/>
      <c r="N34" s="2317"/>
      <c r="O34" s="2317"/>
      <c r="P34" s="2317"/>
      <c r="Q34" s="2319"/>
      <c r="R34" s="2335"/>
      <c r="S34" s="2336"/>
      <c r="T34" s="2336"/>
      <c r="U34" s="2336"/>
      <c r="V34" s="2336"/>
      <c r="W34" s="2336"/>
      <c r="X34" s="2336"/>
      <c r="Y34" s="2336"/>
      <c r="Z34" s="2336"/>
      <c r="AA34" s="2336"/>
      <c r="AB34" s="2336"/>
      <c r="AC34" s="2336"/>
      <c r="AD34" s="2336"/>
      <c r="AE34" s="2336"/>
      <c r="AF34" s="2336"/>
      <c r="AG34" s="2336"/>
      <c r="AH34" s="2336"/>
      <c r="AI34" s="2336"/>
      <c r="AJ34" s="2336"/>
      <c r="AK34" s="2336"/>
      <c r="AL34" s="2336"/>
      <c r="AM34" s="2336"/>
      <c r="AN34" s="2336"/>
      <c r="AO34" s="2336"/>
      <c r="AP34" s="2336"/>
      <c r="AQ34" s="2336"/>
      <c r="AR34" s="2336"/>
      <c r="AS34" s="2336"/>
      <c r="AT34" s="2336"/>
      <c r="AU34" s="2336"/>
      <c r="AV34" s="2336"/>
      <c r="AW34" s="2336"/>
      <c r="AX34" s="2336"/>
      <c r="AY34" s="2336"/>
      <c r="AZ34" s="2336"/>
      <c r="BA34" s="2336"/>
      <c r="BB34" s="2336"/>
      <c r="BC34" s="2336"/>
      <c r="BD34" s="2337"/>
      <c r="BE34" s="1205"/>
    </row>
    <row r="35" spans="1:58" ht="15.75" customHeight="1">
      <c r="A35" s="1209"/>
      <c r="B35" s="2346"/>
      <c r="C35" s="2347"/>
      <c r="D35" s="2347"/>
      <c r="E35" s="2347"/>
      <c r="F35" s="2347"/>
      <c r="G35" s="2347"/>
      <c r="H35" s="2347"/>
      <c r="I35" s="2347"/>
      <c r="J35" s="2317"/>
      <c r="K35" s="2317"/>
      <c r="L35" s="2317"/>
      <c r="M35" s="2317"/>
      <c r="N35" s="2317"/>
      <c r="O35" s="2317"/>
      <c r="P35" s="2317"/>
      <c r="Q35" s="2317"/>
      <c r="R35" s="2320">
        <v>0.3</v>
      </c>
      <c r="S35" s="2320"/>
      <c r="T35" s="2320"/>
      <c r="U35" s="2320"/>
      <c r="V35" s="2320">
        <v>0.4</v>
      </c>
      <c r="W35" s="2320"/>
      <c r="X35" s="2320"/>
      <c r="Y35" s="2320"/>
      <c r="Z35" s="2320">
        <v>0.5</v>
      </c>
      <c r="AA35" s="2320"/>
      <c r="AB35" s="2320"/>
      <c r="AC35" s="2320"/>
      <c r="AD35" s="2320">
        <v>0.6</v>
      </c>
      <c r="AE35" s="2320"/>
      <c r="AF35" s="2320"/>
      <c r="AG35" s="2320"/>
      <c r="AH35" s="2320">
        <v>0.7</v>
      </c>
      <c r="AI35" s="2320"/>
      <c r="AJ35" s="2320"/>
      <c r="AK35" s="2320"/>
      <c r="AL35" s="2296">
        <v>0.8</v>
      </c>
      <c r="AM35" s="2297"/>
      <c r="AN35" s="2297"/>
      <c r="AO35" s="2298"/>
      <c r="AP35" s="2299">
        <v>1.2</v>
      </c>
      <c r="AQ35" s="2300"/>
      <c r="AR35" s="2301"/>
      <c r="AS35" s="2302" t="s">
        <v>1805</v>
      </c>
      <c r="AT35" s="2303"/>
      <c r="AU35" s="2303"/>
      <c r="AV35" s="2303"/>
      <c r="AW35" s="2303"/>
      <c r="AX35" s="2304"/>
      <c r="AY35" s="2302" t="s">
        <v>1806</v>
      </c>
      <c r="AZ35" s="2303"/>
      <c r="BA35" s="2303"/>
      <c r="BB35" s="2303"/>
      <c r="BC35" s="2303"/>
      <c r="BD35" s="2305"/>
      <c r="BE35" s="1205"/>
    </row>
    <row r="36" spans="1:58" ht="15.75" customHeight="1">
      <c r="A36" s="1209"/>
      <c r="B36" s="2325" t="s">
        <v>1807</v>
      </c>
      <c r="C36" s="2326"/>
      <c r="D36" s="2326"/>
      <c r="E36" s="2326"/>
      <c r="F36" s="2326"/>
      <c r="G36" s="2326"/>
      <c r="H36" s="2326"/>
      <c r="I36" s="2326"/>
      <c r="J36" s="2327" t="s">
        <v>1809</v>
      </c>
      <c r="K36" s="2327"/>
      <c r="L36" s="2327"/>
      <c r="M36" s="2327"/>
      <c r="N36" s="2327">
        <v>55</v>
      </c>
      <c r="O36" s="2327"/>
      <c r="P36" s="2327"/>
      <c r="Q36" s="2327"/>
      <c r="R36" s="2328">
        <v>18</v>
      </c>
      <c r="S36" s="2328"/>
      <c r="T36" s="2328"/>
      <c r="U36" s="2328"/>
      <c r="V36" s="2328"/>
      <c r="W36" s="2328"/>
      <c r="X36" s="2328"/>
      <c r="Y36" s="2328"/>
      <c r="Z36" s="2328">
        <v>18</v>
      </c>
      <c r="AA36" s="2328"/>
      <c r="AB36" s="2328"/>
      <c r="AC36" s="2328"/>
      <c r="AD36" s="2328">
        <f>170*0.4-R36-Z36</f>
        <v>32</v>
      </c>
      <c r="AE36" s="2328"/>
      <c r="AF36" s="2328"/>
      <c r="AG36" s="2328"/>
      <c r="AH36" s="2328"/>
      <c r="AI36" s="2328"/>
      <c r="AJ36" s="2328"/>
      <c r="AK36" s="2328"/>
      <c r="AL36" s="2348"/>
      <c r="AM36" s="2349"/>
      <c r="AN36" s="2349"/>
      <c r="AO36" s="2350"/>
      <c r="AP36" s="2348">
        <v>0</v>
      </c>
      <c r="AQ36" s="2349"/>
      <c r="AR36" s="2350"/>
      <c r="AS36" s="2351">
        <f t="shared" ref="AS36:AS47" si="2">SUM(R36:AR36)</f>
        <v>68</v>
      </c>
      <c r="AT36" s="2352"/>
      <c r="AU36" s="2352"/>
      <c r="AV36" s="2352"/>
      <c r="AW36" s="2352"/>
      <c r="AX36" s="2353"/>
      <c r="AY36" s="2354">
        <f t="shared" ref="AY36:AY47" si="3">AS36/$J$29</f>
        <v>0.4</v>
      </c>
      <c r="AZ36" s="2355"/>
      <c r="BA36" s="2355"/>
      <c r="BB36" s="2355"/>
      <c r="BC36" s="2355"/>
      <c r="BD36" s="2356"/>
      <c r="BE36" s="1205"/>
    </row>
    <row r="37" spans="1:58" ht="15.75" customHeight="1">
      <c r="A37" s="1209"/>
      <c r="B37" s="2325" t="s">
        <v>2471</v>
      </c>
      <c r="C37" s="2326"/>
      <c r="D37" s="2326"/>
      <c r="E37" s="2326"/>
      <c r="F37" s="2326"/>
      <c r="G37" s="2326"/>
      <c r="H37" s="2326"/>
      <c r="I37" s="2326"/>
      <c r="J37" s="2327" t="s">
        <v>1810</v>
      </c>
      <c r="K37" s="2327"/>
      <c r="L37" s="2327"/>
      <c r="M37" s="2327"/>
      <c r="N37" s="2327">
        <v>55</v>
      </c>
      <c r="O37" s="2327"/>
      <c r="P37" s="2327"/>
      <c r="Q37" s="2327"/>
      <c r="R37" s="2328">
        <v>18</v>
      </c>
      <c r="S37" s="2328"/>
      <c r="T37" s="2328"/>
      <c r="U37" s="2328"/>
      <c r="V37" s="2328">
        <v>25</v>
      </c>
      <c r="W37" s="2328"/>
      <c r="X37" s="2328"/>
      <c r="Y37" s="2328"/>
      <c r="Z37" s="2328">
        <v>25</v>
      </c>
      <c r="AA37" s="2328"/>
      <c r="AB37" s="2328"/>
      <c r="AC37" s="2328"/>
      <c r="AD37" s="2328">
        <v>51</v>
      </c>
      <c r="AE37" s="2328"/>
      <c r="AF37" s="2328"/>
      <c r="AG37" s="2328"/>
      <c r="AH37" s="2328">
        <v>51</v>
      </c>
      <c r="AI37" s="2328"/>
      <c r="AJ37" s="2328"/>
      <c r="AK37" s="2328"/>
      <c r="AL37" s="2348"/>
      <c r="AM37" s="2349"/>
      <c r="AN37" s="2349"/>
      <c r="AO37" s="2350"/>
      <c r="AP37" s="2348"/>
      <c r="AQ37" s="2349"/>
      <c r="AR37" s="2350"/>
      <c r="AS37" s="2351">
        <f t="shared" si="2"/>
        <v>170</v>
      </c>
      <c r="AT37" s="2352"/>
      <c r="AU37" s="2352"/>
      <c r="AV37" s="2352"/>
      <c r="AW37" s="2352"/>
      <c r="AX37" s="2353"/>
      <c r="AY37" s="2354">
        <f t="shared" si="3"/>
        <v>1</v>
      </c>
      <c r="AZ37" s="2355"/>
      <c r="BA37" s="2355"/>
      <c r="BB37" s="2355"/>
      <c r="BC37" s="2355"/>
      <c r="BD37" s="2356"/>
      <c r="BE37" s="1205"/>
    </row>
    <row r="38" spans="1:58" ht="15.75" customHeight="1">
      <c r="A38" s="1209"/>
      <c r="B38" s="2325" t="s">
        <v>2410</v>
      </c>
      <c r="C38" s="2326"/>
      <c r="D38" s="2326"/>
      <c r="E38" s="2326"/>
      <c r="F38" s="2326"/>
      <c r="G38" s="2326"/>
      <c r="H38" s="2326"/>
      <c r="I38" s="2326"/>
      <c r="J38" s="2327" t="s">
        <v>2748</v>
      </c>
      <c r="K38" s="2327"/>
      <c r="L38" s="2327"/>
      <c r="M38" s="2327"/>
      <c r="N38" s="2327">
        <v>55</v>
      </c>
      <c r="O38" s="2327"/>
      <c r="P38" s="2327"/>
      <c r="Q38" s="2327"/>
      <c r="R38" s="2328">
        <v>18</v>
      </c>
      <c r="S38" s="2328"/>
      <c r="T38" s="2328"/>
      <c r="U38" s="2328"/>
      <c r="V38" s="2328"/>
      <c r="W38" s="2328"/>
      <c r="X38" s="2328"/>
      <c r="Y38" s="2328"/>
      <c r="Z38" s="2328">
        <v>18</v>
      </c>
      <c r="AA38" s="2328"/>
      <c r="AB38" s="2328"/>
      <c r="AC38" s="2328"/>
      <c r="AD38" s="2328">
        <v>32</v>
      </c>
      <c r="AE38" s="2328"/>
      <c r="AF38" s="2328"/>
      <c r="AG38" s="2328"/>
      <c r="AH38" s="2328"/>
      <c r="AI38" s="2328"/>
      <c r="AJ38" s="2328"/>
      <c r="AK38" s="2328"/>
      <c r="AL38" s="2348">
        <f>170-R38-Z38-AD38</f>
        <v>102</v>
      </c>
      <c r="AM38" s="2349"/>
      <c r="AN38" s="2349"/>
      <c r="AO38" s="2350"/>
      <c r="AP38" s="2348"/>
      <c r="AQ38" s="2349"/>
      <c r="AR38" s="2350"/>
      <c r="AS38" s="2351">
        <f t="shared" si="2"/>
        <v>170</v>
      </c>
      <c r="AT38" s="2352"/>
      <c r="AU38" s="2352"/>
      <c r="AV38" s="2352"/>
      <c r="AW38" s="2352"/>
      <c r="AX38" s="2353"/>
      <c r="AY38" s="2354">
        <f t="shared" si="3"/>
        <v>1</v>
      </c>
      <c r="AZ38" s="2355"/>
      <c r="BA38" s="2355"/>
      <c r="BB38" s="2355"/>
      <c r="BC38" s="2355"/>
      <c r="BD38" s="2356"/>
      <c r="BE38" s="1205"/>
    </row>
    <row r="39" spans="1:58" ht="15.75" customHeight="1">
      <c r="A39" s="1209"/>
      <c r="B39" s="2325" t="s">
        <v>1811</v>
      </c>
      <c r="C39" s="2326"/>
      <c r="D39" s="2326"/>
      <c r="E39" s="2326"/>
      <c r="F39" s="2326"/>
      <c r="G39" s="2326"/>
      <c r="H39" s="2326"/>
      <c r="I39" s="2326"/>
      <c r="J39" s="2327"/>
      <c r="K39" s="2327"/>
      <c r="L39" s="2327"/>
      <c r="M39" s="2327"/>
      <c r="N39" s="2327"/>
      <c r="O39" s="2327"/>
      <c r="P39" s="2327"/>
      <c r="Q39" s="2327"/>
      <c r="R39" s="2328"/>
      <c r="S39" s="2328"/>
      <c r="T39" s="2328"/>
      <c r="U39" s="2328"/>
      <c r="V39" s="2328"/>
      <c r="W39" s="2328"/>
      <c r="X39" s="2328"/>
      <c r="Y39" s="2328"/>
      <c r="Z39" s="2328"/>
      <c r="AA39" s="2328"/>
      <c r="AB39" s="2328"/>
      <c r="AC39" s="2328"/>
      <c r="AD39" s="2328"/>
      <c r="AE39" s="2328"/>
      <c r="AF39" s="2328"/>
      <c r="AG39" s="2328"/>
      <c r="AH39" s="2328"/>
      <c r="AI39" s="2328"/>
      <c r="AJ39" s="2328"/>
      <c r="AK39" s="2328"/>
      <c r="AL39" s="2348"/>
      <c r="AM39" s="2349"/>
      <c r="AN39" s="2349"/>
      <c r="AO39" s="2350"/>
      <c r="AP39" s="2348"/>
      <c r="AQ39" s="2349"/>
      <c r="AR39" s="2350"/>
      <c r="AS39" s="2351">
        <f t="shared" si="2"/>
        <v>0</v>
      </c>
      <c r="AT39" s="2352"/>
      <c r="AU39" s="2352"/>
      <c r="AV39" s="2352"/>
      <c r="AW39" s="2352"/>
      <c r="AX39" s="2353"/>
      <c r="AY39" s="2354">
        <f t="shared" si="3"/>
        <v>0</v>
      </c>
      <c r="AZ39" s="2355"/>
      <c r="BA39" s="2355"/>
      <c r="BB39" s="2355"/>
      <c r="BC39" s="2355"/>
      <c r="BD39" s="2356"/>
      <c r="BE39" s="1205"/>
    </row>
    <row r="40" spans="1:58" ht="15.75" customHeight="1">
      <c r="A40" s="1209"/>
      <c r="B40" s="2325" t="s">
        <v>1811</v>
      </c>
      <c r="C40" s="2326"/>
      <c r="D40" s="2326"/>
      <c r="E40" s="2326"/>
      <c r="F40" s="2326"/>
      <c r="G40" s="2326"/>
      <c r="H40" s="2326"/>
      <c r="I40" s="2326"/>
      <c r="J40" s="2327"/>
      <c r="K40" s="2327"/>
      <c r="L40" s="2327"/>
      <c r="M40" s="2327"/>
      <c r="N40" s="2327"/>
      <c r="O40" s="2327"/>
      <c r="P40" s="2327"/>
      <c r="Q40" s="2327"/>
      <c r="R40" s="2328"/>
      <c r="S40" s="2328"/>
      <c r="T40" s="2328"/>
      <c r="U40" s="2328"/>
      <c r="V40" s="2328"/>
      <c r="W40" s="2328"/>
      <c r="X40" s="2328"/>
      <c r="Y40" s="2328"/>
      <c r="Z40" s="2328"/>
      <c r="AA40" s="2328"/>
      <c r="AB40" s="2328"/>
      <c r="AC40" s="2328"/>
      <c r="AD40" s="2328"/>
      <c r="AE40" s="2328"/>
      <c r="AF40" s="2328"/>
      <c r="AG40" s="2328"/>
      <c r="AH40" s="2328"/>
      <c r="AI40" s="2328"/>
      <c r="AJ40" s="2328"/>
      <c r="AK40" s="2328"/>
      <c r="AL40" s="2348"/>
      <c r="AM40" s="2349"/>
      <c r="AN40" s="2349"/>
      <c r="AO40" s="2350"/>
      <c r="AP40" s="2348"/>
      <c r="AQ40" s="2349"/>
      <c r="AR40" s="2350"/>
      <c r="AS40" s="2351">
        <f t="shared" si="2"/>
        <v>0</v>
      </c>
      <c r="AT40" s="2352"/>
      <c r="AU40" s="2352"/>
      <c r="AV40" s="2352"/>
      <c r="AW40" s="2352"/>
      <c r="AX40" s="2353"/>
      <c r="AY40" s="2354">
        <f t="shared" si="3"/>
        <v>0</v>
      </c>
      <c r="AZ40" s="2355"/>
      <c r="BA40" s="2355"/>
      <c r="BB40" s="2355"/>
      <c r="BC40" s="2355"/>
      <c r="BD40" s="2356"/>
      <c r="BE40" s="1205"/>
    </row>
    <row r="41" spans="1:58" ht="15.75" customHeight="1">
      <c r="A41" s="1209"/>
      <c r="B41" s="2325" t="s">
        <v>1812</v>
      </c>
      <c r="C41" s="2326"/>
      <c r="D41" s="2326"/>
      <c r="E41" s="2326"/>
      <c r="F41" s="2326"/>
      <c r="G41" s="2326"/>
      <c r="H41" s="2326"/>
      <c r="I41" s="2326"/>
      <c r="J41" s="2327"/>
      <c r="K41" s="2327"/>
      <c r="L41" s="2327"/>
      <c r="M41" s="2327"/>
      <c r="N41" s="2327"/>
      <c r="O41" s="2327"/>
      <c r="P41" s="2327"/>
      <c r="Q41" s="2327"/>
      <c r="R41" s="2328"/>
      <c r="S41" s="2328"/>
      <c r="T41" s="2328"/>
      <c r="U41" s="2328"/>
      <c r="V41" s="2328"/>
      <c r="W41" s="2328"/>
      <c r="X41" s="2328"/>
      <c r="Y41" s="2328"/>
      <c r="Z41" s="2328"/>
      <c r="AA41" s="2328"/>
      <c r="AB41" s="2328"/>
      <c r="AC41" s="2328"/>
      <c r="AD41" s="2328"/>
      <c r="AE41" s="2328"/>
      <c r="AF41" s="2328"/>
      <c r="AG41" s="2328"/>
      <c r="AH41" s="2328"/>
      <c r="AI41" s="2328"/>
      <c r="AJ41" s="2328"/>
      <c r="AK41" s="2328"/>
      <c r="AL41" s="2348"/>
      <c r="AM41" s="2349"/>
      <c r="AN41" s="2349"/>
      <c r="AO41" s="2350"/>
      <c r="AP41" s="2348"/>
      <c r="AQ41" s="2349"/>
      <c r="AR41" s="2350"/>
      <c r="AS41" s="2351">
        <f t="shared" si="2"/>
        <v>0</v>
      </c>
      <c r="AT41" s="2352"/>
      <c r="AU41" s="2352"/>
      <c r="AV41" s="2352"/>
      <c r="AW41" s="2352"/>
      <c r="AX41" s="2353"/>
      <c r="AY41" s="2354">
        <f t="shared" si="3"/>
        <v>0</v>
      </c>
      <c r="AZ41" s="2355"/>
      <c r="BA41" s="2355"/>
      <c r="BB41" s="2355"/>
      <c r="BC41" s="2355"/>
      <c r="BD41" s="2356"/>
      <c r="BE41" s="1205"/>
    </row>
    <row r="42" spans="1:58" ht="15.75" customHeight="1">
      <c r="A42" s="1209"/>
      <c r="B42" s="2325" t="s">
        <v>1812</v>
      </c>
      <c r="C42" s="2326"/>
      <c r="D42" s="2326"/>
      <c r="E42" s="2326"/>
      <c r="F42" s="2326"/>
      <c r="G42" s="2326"/>
      <c r="H42" s="2326"/>
      <c r="I42" s="2326"/>
      <c r="J42" s="2327"/>
      <c r="K42" s="2327"/>
      <c r="L42" s="2327"/>
      <c r="M42" s="2327"/>
      <c r="N42" s="2327"/>
      <c r="O42" s="2327"/>
      <c r="P42" s="2327"/>
      <c r="Q42" s="2327"/>
      <c r="R42" s="2328"/>
      <c r="S42" s="2328"/>
      <c r="T42" s="2328"/>
      <c r="U42" s="2328"/>
      <c r="V42" s="2328"/>
      <c r="W42" s="2328"/>
      <c r="X42" s="2328"/>
      <c r="Y42" s="2328"/>
      <c r="Z42" s="2328"/>
      <c r="AA42" s="2328"/>
      <c r="AB42" s="2328"/>
      <c r="AC42" s="2328"/>
      <c r="AD42" s="2328"/>
      <c r="AE42" s="2328"/>
      <c r="AF42" s="2328"/>
      <c r="AG42" s="2328"/>
      <c r="AH42" s="2328"/>
      <c r="AI42" s="2328"/>
      <c r="AJ42" s="2328"/>
      <c r="AK42" s="2328"/>
      <c r="AL42" s="2348"/>
      <c r="AM42" s="2349"/>
      <c r="AN42" s="2349"/>
      <c r="AO42" s="2350"/>
      <c r="AP42" s="2348"/>
      <c r="AQ42" s="2349"/>
      <c r="AR42" s="2350"/>
      <c r="AS42" s="2351">
        <f t="shared" si="2"/>
        <v>0</v>
      </c>
      <c r="AT42" s="2352"/>
      <c r="AU42" s="2352"/>
      <c r="AV42" s="2352"/>
      <c r="AW42" s="2352"/>
      <c r="AX42" s="2353"/>
      <c r="AY42" s="2354">
        <f t="shared" si="3"/>
        <v>0</v>
      </c>
      <c r="AZ42" s="2355"/>
      <c r="BA42" s="2355"/>
      <c r="BB42" s="2355"/>
      <c r="BC42" s="2355"/>
      <c r="BD42" s="2356"/>
      <c r="BE42" s="1205"/>
    </row>
    <row r="43" spans="1:58" ht="15.75" customHeight="1">
      <c r="A43" s="1209"/>
      <c r="B43" s="2357" t="s">
        <v>1813</v>
      </c>
      <c r="C43" s="2358"/>
      <c r="D43" s="2358"/>
      <c r="E43" s="2358"/>
      <c r="F43" s="2358"/>
      <c r="G43" s="2358"/>
      <c r="H43" s="2358"/>
      <c r="I43" s="2358"/>
      <c r="J43" s="2327"/>
      <c r="K43" s="2327"/>
      <c r="L43" s="2327"/>
      <c r="M43" s="2327"/>
      <c r="N43" s="2327"/>
      <c r="O43" s="2327"/>
      <c r="P43" s="2327"/>
      <c r="Q43" s="2327"/>
      <c r="R43" s="2328">
        <v>18</v>
      </c>
      <c r="S43" s="2328"/>
      <c r="T43" s="2328"/>
      <c r="U43" s="2328"/>
      <c r="V43" s="2328"/>
      <c r="W43" s="2328"/>
      <c r="X43" s="2328"/>
      <c r="Y43" s="2328"/>
      <c r="Z43" s="2328">
        <v>50</v>
      </c>
      <c r="AA43" s="2328"/>
      <c r="AB43" s="2328"/>
      <c r="AC43" s="2328"/>
      <c r="AD43" s="2328"/>
      <c r="AE43" s="2328"/>
      <c r="AF43" s="2328"/>
      <c r="AG43" s="2328"/>
      <c r="AH43" s="2328"/>
      <c r="AI43" s="2328"/>
      <c r="AJ43" s="2328"/>
      <c r="AK43" s="2328"/>
      <c r="AL43" s="2348"/>
      <c r="AM43" s="2349"/>
      <c r="AN43" s="2349"/>
      <c r="AO43" s="2350"/>
      <c r="AP43" s="2348"/>
      <c r="AQ43" s="2349"/>
      <c r="AR43" s="2350"/>
      <c r="AS43" s="2351">
        <f t="shared" si="2"/>
        <v>68</v>
      </c>
      <c r="AT43" s="2352"/>
      <c r="AU43" s="2352"/>
      <c r="AV43" s="2352"/>
      <c r="AW43" s="2352"/>
      <c r="AX43" s="2353"/>
      <c r="AY43" s="2354">
        <f t="shared" si="3"/>
        <v>0.4</v>
      </c>
      <c r="AZ43" s="2355"/>
      <c r="BA43" s="2355"/>
      <c r="BB43" s="2355"/>
      <c r="BC43" s="2355"/>
      <c r="BD43" s="2356"/>
      <c r="BE43" s="1205"/>
    </row>
    <row r="44" spans="1:58" ht="15.75" customHeight="1">
      <c r="A44" s="1209"/>
      <c r="B44" s="2357" t="s">
        <v>1814</v>
      </c>
      <c r="C44" s="2358"/>
      <c r="D44" s="2358"/>
      <c r="E44" s="2358"/>
      <c r="F44" s="2358"/>
      <c r="G44" s="2358"/>
      <c r="H44" s="2358"/>
      <c r="I44" s="2358"/>
      <c r="J44" s="2327"/>
      <c r="K44" s="2327"/>
      <c r="L44" s="2327"/>
      <c r="M44" s="2327"/>
      <c r="N44" s="2327"/>
      <c r="O44" s="2327"/>
      <c r="P44" s="2327"/>
      <c r="Q44" s="2327"/>
      <c r="R44" s="2328"/>
      <c r="S44" s="2328"/>
      <c r="T44" s="2328"/>
      <c r="U44" s="2328"/>
      <c r="V44" s="2328"/>
      <c r="W44" s="2328"/>
      <c r="X44" s="2328"/>
      <c r="Y44" s="2328"/>
      <c r="Z44" s="2328"/>
      <c r="AA44" s="2328"/>
      <c r="AB44" s="2328"/>
      <c r="AC44" s="2328"/>
      <c r="AD44" s="2328"/>
      <c r="AE44" s="2328"/>
      <c r="AF44" s="2328"/>
      <c r="AG44" s="2328"/>
      <c r="AH44" s="2328"/>
      <c r="AI44" s="2328"/>
      <c r="AJ44" s="2328"/>
      <c r="AK44" s="2328"/>
      <c r="AL44" s="2348"/>
      <c r="AM44" s="2349"/>
      <c r="AN44" s="2349"/>
      <c r="AO44" s="2350"/>
      <c r="AP44" s="2348"/>
      <c r="AQ44" s="2349"/>
      <c r="AR44" s="2350"/>
      <c r="AS44" s="2351">
        <f t="shared" si="2"/>
        <v>0</v>
      </c>
      <c r="AT44" s="2352"/>
      <c r="AU44" s="2352"/>
      <c r="AV44" s="2352"/>
      <c r="AW44" s="2352"/>
      <c r="AX44" s="2353"/>
      <c r="AY44" s="2354">
        <f t="shared" si="3"/>
        <v>0</v>
      </c>
      <c r="AZ44" s="2355"/>
      <c r="BA44" s="2355"/>
      <c r="BB44" s="2355"/>
      <c r="BC44" s="2355"/>
      <c r="BD44" s="2356"/>
      <c r="BE44" s="1205"/>
    </row>
    <row r="45" spans="1:58" ht="15.75" customHeight="1">
      <c r="A45" s="1209"/>
      <c r="B45" s="2357" t="s">
        <v>1815</v>
      </c>
      <c r="C45" s="2358"/>
      <c r="D45" s="2358"/>
      <c r="E45" s="2358"/>
      <c r="F45" s="2358"/>
      <c r="G45" s="2358"/>
      <c r="H45" s="2358"/>
      <c r="I45" s="2358"/>
      <c r="J45" s="2327" t="s">
        <v>1808</v>
      </c>
      <c r="K45" s="2327"/>
      <c r="L45" s="2327"/>
      <c r="M45" s="2327"/>
      <c r="N45" s="2327">
        <v>55</v>
      </c>
      <c r="O45" s="2327"/>
      <c r="P45" s="2327"/>
      <c r="Q45" s="2327"/>
      <c r="R45" s="2328">
        <v>18</v>
      </c>
      <c r="S45" s="2328"/>
      <c r="T45" s="2328"/>
      <c r="U45" s="2328"/>
      <c r="V45" s="2328"/>
      <c r="W45" s="2328"/>
      <c r="X45" s="2328"/>
      <c r="Y45" s="2328"/>
      <c r="Z45" s="2328">
        <v>50</v>
      </c>
      <c r="AA45" s="2328"/>
      <c r="AB45" s="2328"/>
      <c r="AC45" s="2328"/>
      <c r="AD45" s="2328"/>
      <c r="AE45" s="2328"/>
      <c r="AF45" s="2328"/>
      <c r="AG45" s="2328"/>
      <c r="AH45" s="2328"/>
      <c r="AI45" s="2328"/>
      <c r="AJ45" s="2328"/>
      <c r="AK45" s="2328"/>
      <c r="AL45" s="2348"/>
      <c r="AM45" s="2349"/>
      <c r="AN45" s="2349"/>
      <c r="AO45" s="2350"/>
      <c r="AP45" s="2348"/>
      <c r="AQ45" s="2349"/>
      <c r="AR45" s="2350"/>
      <c r="AS45" s="2351">
        <f t="shared" si="2"/>
        <v>68</v>
      </c>
      <c r="AT45" s="2352"/>
      <c r="AU45" s="2352"/>
      <c r="AV45" s="2352"/>
      <c r="AW45" s="2352"/>
      <c r="AX45" s="2353"/>
      <c r="AY45" s="2354">
        <f t="shared" si="3"/>
        <v>0.4</v>
      </c>
      <c r="AZ45" s="2355"/>
      <c r="BA45" s="2355"/>
      <c r="BB45" s="2355"/>
      <c r="BC45" s="2355"/>
      <c r="BD45" s="2356"/>
      <c r="BE45" s="1205"/>
    </row>
    <row r="46" spans="1:58" ht="15.75" customHeight="1">
      <c r="A46" s="1209"/>
      <c r="B46" s="2357" t="s">
        <v>1816</v>
      </c>
      <c r="C46" s="2358"/>
      <c r="D46" s="2358"/>
      <c r="E46" s="2358"/>
      <c r="F46" s="2358"/>
      <c r="G46" s="2358"/>
      <c r="H46" s="2358"/>
      <c r="I46" s="2358"/>
      <c r="J46" s="2327"/>
      <c r="K46" s="2327"/>
      <c r="L46" s="2327"/>
      <c r="M46" s="2327"/>
      <c r="N46" s="2327"/>
      <c r="O46" s="2327"/>
      <c r="P46" s="2327"/>
      <c r="Q46" s="2327"/>
      <c r="R46" s="2328"/>
      <c r="S46" s="2328"/>
      <c r="T46" s="2328"/>
      <c r="U46" s="2328"/>
      <c r="V46" s="2328"/>
      <c r="W46" s="2328"/>
      <c r="X46" s="2328"/>
      <c r="Y46" s="2328"/>
      <c r="Z46" s="2328"/>
      <c r="AA46" s="2328"/>
      <c r="AB46" s="2328"/>
      <c r="AC46" s="2328"/>
      <c r="AD46" s="2328"/>
      <c r="AE46" s="2328"/>
      <c r="AF46" s="2328"/>
      <c r="AG46" s="2328"/>
      <c r="AH46" s="2328"/>
      <c r="AI46" s="2328"/>
      <c r="AJ46" s="2328"/>
      <c r="AK46" s="2328"/>
      <c r="AL46" s="2348"/>
      <c r="AM46" s="2349"/>
      <c r="AN46" s="2349"/>
      <c r="AO46" s="2350"/>
      <c r="AP46" s="2348"/>
      <c r="AQ46" s="2349"/>
      <c r="AR46" s="2350"/>
      <c r="AS46" s="2351">
        <f t="shared" si="2"/>
        <v>0</v>
      </c>
      <c r="AT46" s="2352"/>
      <c r="AU46" s="2352"/>
      <c r="AV46" s="2352"/>
      <c r="AW46" s="2352"/>
      <c r="AX46" s="2353"/>
      <c r="AY46" s="2354">
        <f t="shared" si="3"/>
        <v>0</v>
      </c>
      <c r="AZ46" s="2355"/>
      <c r="BA46" s="2355"/>
      <c r="BB46" s="2355"/>
      <c r="BC46" s="2355"/>
      <c r="BD46" s="2356"/>
      <c r="BE46" s="1205"/>
    </row>
    <row r="47" spans="1:58" ht="15.75" customHeight="1" thickBot="1">
      <c r="A47" s="1209"/>
      <c r="B47" s="2371" t="s">
        <v>301</v>
      </c>
      <c r="C47" s="2372"/>
      <c r="D47" s="2372"/>
      <c r="E47" s="2372"/>
      <c r="F47" s="2372"/>
      <c r="G47" s="2372"/>
      <c r="H47" s="2372"/>
      <c r="I47" s="2372"/>
      <c r="J47" s="2373"/>
      <c r="K47" s="2373"/>
      <c r="L47" s="2373"/>
      <c r="M47" s="2373"/>
      <c r="N47" s="2373"/>
      <c r="O47" s="2373"/>
      <c r="P47" s="2373"/>
      <c r="Q47" s="2373"/>
      <c r="R47" s="2370"/>
      <c r="S47" s="2370"/>
      <c r="T47" s="2370"/>
      <c r="U47" s="2370"/>
      <c r="V47" s="2370"/>
      <c r="W47" s="2370"/>
      <c r="X47" s="2370"/>
      <c r="Y47" s="2370"/>
      <c r="Z47" s="2370"/>
      <c r="AA47" s="2370"/>
      <c r="AB47" s="2370"/>
      <c r="AC47" s="2370"/>
      <c r="AD47" s="2370"/>
      <c r="AE47" s="2370"/>
      <c r="AF47" s="2370"/>
      <c r="AG47" s="2370"/>
      <c r="AH47" s="2370"/>
      <c r="AI47" s="2370"/>
      <c r="AJ47" s="2370"/>
      <c r="AK47" s="2370"/>
      <c r="AL47" s="2359"/>
      <c r="AM47" s="2360"/>
      <c r="AN47" s="2360"/>
      <c r="AO47" s="2361"/>
      <c r="AP47" s="2359"/>
      <c r="AQ47" s="2360"/>
      <c r="AR47" s="2361"/>
      <c r="AS47" s="2351">
        <f t="shared" si="2"/>
        <v>0</v>
      </c>
      <c r="AT47" s="2352"/>
      <c r="AU47" s="2352"/>
      <c r="AV47" s="2352"/>
      <c r="AW47" s="2352"/>
      <c r="AX47" s="2353"/>
      <c r="AY47" s="2362">
        <f t="shared" si="3"/>
        <v>0</v>
      </c>
      <c r="AZ47" s="2363"/>
      <c r="BA47" s="2363"/>
      <c r="BB47" s="2363"/>
      <c r="BC47" s="2363"/>
      <c r="BD47" s="2364"/>
      <c r="BE47" s="1205"/>
    </row>
    <row r="48" spans="1:58" ht="15.75" customHeight="1">
      <c r="A48" s="1209"/>
      <c r="B48" s="1257" t="s">
        <v>2472</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5" t="s">
        <v>1817</v>
      </c>
      <c r="C50" s="2366"/>
      <c r="D50" s="2366"/>
      <c r="E50" s="2366"/>
      <c r="F50" s="2366"/>
      <c r="G50" s="2366"/>
      <c r="H50" s="2366"/>
      <c r="I50" s="2366"/>
      <c r="J50" s="2366"/>
      <c r="K50" s="2366"/>
      <c r="L50" s="2366"/>
      <c r="M50" s="2366"/>
      <c r="N50" s="2366"/>
      <c r="O50" s="2366"/>
      <c r="P50" s="2366"/>
      <c r="Q50" s="2366"/>
      <c r="R50" s="2366"/>
      <c r="S50" s="2366"/>
      <c r="T50" s="2366"/>
      <c r="U50" s="2366"/>
      <c r="V50" s="2366"/>
      <c r="W50" s="2366"/>
      <c r="X50" s="2366"/>
      <c r="Y50" s="2366"/>
      <c r="Z50" s="2366"/>
      <c r="AA50" s="2366"/>
      <c r="AB50" s="2366"/>
      <c r="AC50" s="2366"/>
      <c r="AD50" s="2366"/>
      <c r="AE50" s="2366"/>
      <c r="AF50" s="2366"/>
      <c r="AG50" s="2366"/>
      <c r="AH50" s="2366"/>
      <c r="AI50" s="2366"/>
      <c r="AJ50" s="2366"/>
      <c r="AK50" s="2366"/>
      <c r="AL50" s="2366"/>
      <c r="AM50" s="2366"/>
      <c r="AN50" s="2366"/>
      <c r="AO50" s="236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0" t="s">
        <v>1818</v>
      </c>
      <c r="C51" s="2211"/>
      <c r="D51" s="2211"/>
      <c r="E51" s="2211"/>
      <c r="F51" s="2211"/>
      <c r="G51" s="2211"/>
      <c r="H51" s="2211"/>
      <c r="I51" s="2211"/>
      <c r="J51" s="2211" t="s">
        <v>2473</v>
      </c>
      <c r="K51" s="2211"/>
      <c r="L51" s="2211"/>
      <c r="M51" s="2211"/>
      <c r="N51" s="2211"/>
      <c r="O51" s="2211"/>
      <c r="P51" s="2211"/>
      <c r="Q51" s="2211"/>
      <c r="R51" s="2368" t="s">
        <v>2474</v>
      </c>
      <c r="S51" s="2368"/>
      <c r="T51" s="2368"/>
      <c r="U51" s="2368"/>
      <c r="V51" s="2368"/>
      <c r="W51" s="2368"/>
      <c r="X51" s="2368"/>
      <c r="Y51" s="2368"/>
      <c r="Z51" s="2368" t="s">
        <v>1819</v>
      </c>
      <c r="AA51" s="2368"/>
      <c r="AB51" s="2368"/>
      <c r="AC51" s="2368"/>
      <c r="AD51" s="2368"/>
      <c r="AE51" s="2368"/>
      <c r="AF51" s="2368"/>
      <c r="AG51" s="2368"/>
      <c r="AH51" s="2368" t="s">
        <v>1820</v>
      </c>
      <c r="AI51" s="2368"/>
      <c r="AJ51" s="2368"/>
      <c r="AK51" s="2368"/>
      <c r="AL51" s="2368"/>
      <c r="AM51" s="2368"/>
      <c r="AN51" s="2368"/>
      <c r="AO51" s="23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7" t="s">
        <v>2749</v>
      </c>
      <c r="C52" s="2358"/>
      <c r="D52" s="2358"/>
      <c r="E52" s="2358"/>
      <c r="F52" s="2358"/>
      <c r="G52" s="2358"/>
      <c r="H52" s="2358"/>
      <c r="I52" s="2358"/>
      <c r="J52" s="2374">
        <v>15</v>
      </c>
      <c r="K52" s="2374"/>
      <c r="L52" s="2374"/>
      <c r="M52" s="2374"/>
      <c r="N52" s="2374"/>
      <c r="O52" s="2374"/>
      <c r="P52" s="2374"/>
      <c r="Q52" s="2374"/>
      <c r="R52" s="2375">
        <v>115000</v>
      </c>
      <c r="S52" s="2375"/>
      <c r="T52" s="2375"/>
      <c r="U52" s="2375"/>
      <c r="V52" s="2375"/>
      <c r="W52" s="2375"/>
      <c r="X52" s="2375"/>
      <c r="Y52" s="2375"/>
      <c r="Z52" s="2376">
        <v>55</v>
      </c>
      <c r="AA52" s="2376"/>
      <c r="AB52" s="2376"/>
      <c r="AC52" s="2376"/>
      <c r="AD52" s="2376"/>
      <c r="AE52" s="2376"/>
      <c r="AF52" s="2376"/>
      <c r="AG52" s="2376"/>
      <c r="AH52" s="2377"/>
      <c r="AI52" s="2377"/>
      <c r="AJ52" s="2377"/>
      <c r="AK52" s="2377"/>
      <c r="AL52" s="2377"/>
      <c r="AM52" s="2377"/>
      <c r="AN52" s="2377"/>
      <c r="AO52" s="237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7"/>
      <c r="C53" s="2358"/>
      <c r="D53" s="2358"/>
      <c r="E53" s="2358"/>
      <c r="F53" s="2358"/>
      <c r="G53" s="2358"/>
      <c r="H53" s="2358"/>
      <c r="I53" s="2358"/>
      <c r="J53" s="2374"/>
      <c r="K53" s="2374"/>
      <c r="L53" s="2374"/>
      <c r="M53" s="2374"/>
      <c r="N53" s="2374"/>
      <c r="O53" s="2374"/>
      <c r="P53" s="2374"/>
      <c r="Q53" s="2374"/>
      <c r="R53" s="2375"/>
      <c r="S53" s="2375"/>
      <c r="T53" s="2375"/>
      <c r="U53" s="2375"/>
      <c r="V53" s="2375"/>
      <c r="W53" s="2375"/>
      <c r="X53" s="2375"/>
      <c r="Y53" s="2375"/>
      <c r="Z53" s="2376"/>
      <c r="AA53" s="2376"/>
      <c r="AB53" s="2376"/>
      <c r="AC53" s="2376"/>
      <c r="AD53" s="2376"/>
      <c r="AE53" s="2376"/>
      <c r="AF53" s="2376"/>
      <c r="AG53" s="2376"/>
      <c r="AH53" s="2377"/>
      <c r="AI53" s="2377"/>
      <c r="AJ53" s="2377"/>
      <c r="AK53" s="2377"/>
      <c r="AL53" s="2377"/>
      <c r="AM53" s="2377"/>
      <c r="AN53" s="2377"/>
      <c r="AO53" s="237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7"/>
      <c r="C54" s="2358"/>
      <c r="D54" s="2358"/>
      <c r="E54" s="2358"/>
      <c r="F54" s="2358"/>
      <c r="G54" s="2358"/>
      <c r="H54" s="2358"/>
      <c r="I54" s="2358"/>
      <c r="J54" s="2374"/>
      <c r="K54" s="2374"/>
      <c r="L54" s="2374"/>
      <c r="M54" s="2374"/>
      <c r="N54" s="2374"/>
      <c r="O54" s="2374"/>
      <c r="P54" s="2374"/>
      <c r="Q54" s="2374"/>
      <c r="R54" s="2375"/>
      <c r="S54" s="2375"/>
      <c r="T54" s="2375"/>
      <c r="U54" s="2375"/>
      <c r="V54" s="2375"/>
      <c r="W54" s="2375"/>
      <c r="X54" s="2375"/>
      <c r="Y54" s="2375"/>
      <c r="Z54" s="2376"/>
      <c r="AA54" s="2376"/>
      <c r="AB54" s="2376"/>
      <c r="AC54" s="2376"/>
      <c r="AD54" s="2376"/>
      <c r="AE54" s="2376"/>
      <c r="AF54" s="2376"/>
      <c r="AG54" s="2376"/>
      <c r="AH54" s="2377"/>
      <c r="AI54" s="2377"/>
      <c r="AJ54" s="2377"/>
      <c r="AK54" s="2377"/>
      <c r="AL54" s="2377"/>
      <c r="AM54" s="2377"/>
      <c r="AN54" s="2377"/>
      <c r="AO54" s="237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7"/>
      <c r="C55" s="2358"/>
      <c r="D55" s="2358"/>
      <c r="E55" s="2358"/>
      <c r="F55" s="2358"/>
      <c r="G55" s="2358"/>
      <c r="H55" s="2358"/>
      <c r="I55" s="2358"/>
      <c r="J55" s="2374"/>
      <c r="K55" s="2374"/>
      <c r="L55" s="2374"/>
      <c r="M55" s="2374"/>
      <c r="N55" s="2374"/>
      <c r="O55" s="2374"/>
      <c r="P55" s="2374"/>
      <c r="Q55" s="2374"/>
      <c r="R55" s="2375"/>
      <c r="S55" s="2375"/>
      <c r="T55" s="2375"/>
      <c r="U55" s="2375"/>
      <c r="V55" s="2375"/>
      <c r="W55" s="2375"/>
      <c r="X55" s="2375"/>
      <c r="Y55" s="2375"/>
      <c r="Z55" s="2376"/>
      <c r="AA55" s="2376"/>
      <c r="AB55" s="2376"/>
      <c r="AC55" s="2376"/>
      <c r="AD55" s="2376"/>
      <c r="AE55" s="2376"/>
      <c r="AF55" s="2376"/>
      <c r="AG55" s="2376"/>
      <c r="AH55" s="2377"/>
      <c r="AI55" s="2377"/>
      <c r="AJ55" s="2377"/>
      <c r="AK55" s="2377"/>
      <c r="AL55" s="2377"/>
      <c r="AM55" s="2377"/>
      <c r="AN55" s="2377"/>
      <c r="AO55" s="237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7"/>
      <c r="C56" s="2358"/>
      <c r="D56" s="2358"/>
      <c r="E56" s="2358"/>
      <c r="F56" s="2358"/>
      <c r="G56" s="2358"/>
      <c r="H56" s="2358"/>
      <c r="I56" s="2358"/>
      <c r="J56" s="2374"/>
      <c r="K56" s="2374"/>
      <c r="L56" s="2374"/>
      <c r="M56" s="2374"/>
      <c r="N56" s="2374"/>
      <c r="O56" s="2374"/>
      <c r="P56" s="2374"/>
      <c r="Q56" s="2374"/>
      <c r="R56" s="2375"/>
      <c r="S56" s="2375"/>
      <c r="T56" s="2375"/>
      <c r="U56" s="2375"/>
      <c r="V56" s="2375"/>
      <c r="W56" s="2375"/>
      <c r="X56" s="2375"/>
      <c r="Y56" s="2375"/>
      <c r="Z56" s="2376"/>
      <c r="AA56" s="2376"/>
      <c r="AB56" s="2376"/>
      <c r="AC56" s="2376"/>
      <c r="AD56" s="2376"/>
      <c r="AE56" s="2376"/>
      <c r="AF56" s="2376"/>
      <c r="AG56" s="2376"/>
      <c r="AH56" s="2377"/>
      <c r="AI56" s="2377"/>
      <c r="AJ56" s="2377"/>
      <c r="AK56" s="2377"/>
      <c r="AL56" s="2377"/>
      <c r="AM56" s="2377"/>
      <c r="AN56" s="2377"/>
      <c r="AO56" s="237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0" t="s">
        <v>1699</v>
      </c>
      <c r="C57" s="2231"/>
      <c r="D57" s="2231"/>
      <c r="E57" s="2231"/>
      <c r="F57" s="2231"/>
      <c r="G57" s="2231"/>
      <c r="H57" s="2231"/>
      <c r="I57" s="2231"/>
      <c r="J57" s="2231"/>
      <c r="K57" s="2231"/>
      <c r="L57" s="2231"/>
      <c r="M57" s="2231"/>
      <c r="N57" s="2231"/>
      <c r="O57" s="2231"/>
      <c r="P57" s="2231"/>
      <c r="Q57" s="2231"/>
      <c r="R57" s="2388">
        <f>SUM(R52:Y56)</f>
        <v>115000</v>
      </c>
      <c r="S57" s="2388"/>
      <c r="T57" s="2388"/>
      <c r="U57" s="2388"/>
      <c r="V57" s="2388"/>
      <c r="W57" s="2388"/>
      <c r="X57" s="2388"/>
      <c r="Y57" s="2388"/>
      <c r="Z57" s="2389">
        <f>SUM(Z52:AG56)</f>
        <v>55</v>
      </c>
      <c r="AA57" s="2389"/>
      <c r="AB57" s="2389"/>
      <c r="AC57" s="2389"/>
      <c r="AD57" s="2389"/>
      <c r="AE57" s="2389"/>
      <c r="AF57" s="2389"/>
      <c r="AG57" s="2389"/>
      <c r="AH57" s="2390"/>
      <c r="AI57" s="2390"/>
      <c r="AJ57" s="2390"/>
      <c r="AK57" s="2390"/>
      <c r="AL57" s="2390"/>
      <c r="AM57" s="2390"/>
      <c r="AN57" s="2390"/>
      <c r="AO57" s="239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2" t="s">
        <v>1818</v>
      </c>
      <c r="C59" s="2393"/>
      <c r="D59" s="2393"/>
      <c r="E59" s="2393"/>
      <c r="F59" s="2393"/>
      <c r="G59" s="2393"/>
      <c r="H59" s="2393"/>
      <c r="I59" s="2394"/>
      <c r="J59" s="2278" t="s">
        <v>2475</v>
      </c>
      <c r="K59" s="2278"/>
      <c r="L59" s="2278"/>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c r="AS59" s="2278"/>
      <c r="AT59" s="2278"/>
      <c r="AU59" s="2278"/>
      <c r="AV59" s="2278"/>
      <c r="AW59" s="2279"/>
      <c r="AX59" s="1209"/>
      <c r="AY59" s="1209"/>
      <c r="AZ59" s="1209"/>
      <c r="BA59" s="1209"/>
      <c r="BB59" s="1209"/>
      <c r="BC59" s="1209"/>
      <c r="BD59" s="1209"/>
      <c r="BE59" s="1205"/>
    </row>
    <row r="60" spans="1:58" ht="15.75" customHeight="1">
      <c r="A60" s="1209"/>
      <c r="B60" s="2379" t="str">
        <f>IF(B52="", "", B52)</f>
        <v>Pacific Housing, Inc</v>
      </c>
      <c r="C60" s="2380"/>
      <c r="D60" s="2380"/>
      <c r="E60" s="2380"/>
      <c r="F60" s="2380"/>
      <c r="G60" s="2380"/>
      <c r="H60" s="2380"/>
      <c r="I60" s="2381"/>
      <c r="J60" s="2382" t="s">
        <v>2750</v>
      </c>
      <c r="K60" s="2383"/>
      <c r="L60" s="2383"/>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c r="AS60" s="2383"/>
      <c r="AT60" s="2383"/>
      <c r="AU60" s="2383"/>
      <c r="AV60" s="2383"/>
      <c r="AW60" s="2384"/>
      <c r="AX60" s="1209"/>
      <c r="AY60" s="1209"/>
      <c r="AZ60" s="1209"/>
      <c r="BA60" s="1209"/>
      <c r="BB60" s="1209"/>
      <c r="BC60" s="1209"/>
      <c r="BD60" s="1209"/>
      <c r="BE60" s="1205"/>
    </row>
    <row r="61" spans="1:58" ht="15.75" customHeight="1">
      <c r="A61" s="1209"/>
      <c r="B61" s="2379" t="str">
        <f>IF(B53="", "", B53)</f>
        <v/>
      </c>
      <c r="C61" s="2380"/>
      <c r="D61" s="2380"/>
      <c r="E61" s="2380"/>
      <c r="F61" s="2380"/>
      <c r="G61" s="2380"/>
      <c r="H61" s="2380"/>
      <c r="I61" s="2381"/>
      <c r="J61" s="2382" t="s">
        <v>2751</v>
      </c>
      <c r="K61" s="2383"/>
      <c r="L61" s="2383"/>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c r="AS61" s="2383"/>
      <c r="AT61" s="2383"/>
      <c r="AU61" s="2383"/>
      <c r="AV61" s="2383"/>
      <c r="AW61" s="2384"/>
      <c r="AX61" s="1209"/>
      <c r="AY61" s="1209"/>
      <c r="AZ61" s="1209"/>
      <c r="BA61" s="1209"/>
      <c r="BB61" s="1209"/>
      <c r="BC61" s="1209"/>
      <c r="BD61" s="1209"/>
      <c r="BE61" s="1205"/>
    </row>
    <row r="62" spans="1:58" ht="15.75" customHeight="1">
      <c r="A62" s="1209"/>
      <c r="B62" s="2379" t="str">
        <f>IF(B54="", "", B54)</f>
        <v/>
      </c>
      <c r="C62" s="2380"/>
      <c r="D62" s="2380"/>
      <c r="E62" s="2380"/>
      <c r="F62" s="2380"/>
      <c r="G62" s="2380"/>
      <c r="H62" s="2380"/>
      <c r="I62" s="2381"/>
      <c r="J62" s="2382" t="s">
        <v>2752</v>
      </c>
      <c r="K62" s="2383"/>
      <c r="L62" s="2383"/>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c r="AS62" s="2383"/>
      <c r="AT62" s="2383"/>
      <c r="AU62" s="2383"/>
      <c r="AV62" s="2383"/>
      <c r="AW62" s="2384"/>
      <c r="AX62" s="1209"/>
      <c r="AY62" s="1209"/>
      <c r="AZ62" s="1209"/>
      <c r="BA62" s="1209"/>
      <c r="BB62" s="1209"/>
      <c r="BC62" s="1209"/>
      <c r="BD62" s="1209"/>
      <c r="BE62" s="1205"/>
    </row>
    <row r="63" spans="1:58" ht="15.75" customHeight="1">
      <c r="A63" s="1209"/>
      <c r="B63" s="2379" t="str">
        <f>IF(B55="", "", B55)</f>
        <v/>
      </c>
      <c r="C63" s="2380"/>
      <c r="D63" s="2380"/>
      <c r="E63" s="2380"/>
      <c r="F63" s="2380"/>
      <c r="G63" s="2380"/>
      <c r="H63" s="2380"/>
      <c r="I63" s="2381"/>
      <c r="J63" s="2382"/>
      <c r="K63" s="2383"/>
      <c r="L63" s="2383"/>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c r="AS63" s="2383"/>
      <c r="AT63" s="2383"/>
      <c r="AU63" s="2383"/>
      <c r="AV63" s="2383"/>
      <c r="AW63" s="2384"/>
      <c r="AX63" s="1209"/>
      <c r="AY63" s="1209"/>
      <c r="AZ63" s="1209"/>
      <c r="BA63" s="1209"/>
      <c r="BB63" s="1209"/>
      <c r="BC63" s="1209"/>
      <c r="BD63" s="1209"/>
      <c r="BE63" s="1205"/>
    </row>
    <row r="64" spans="1:58" ht="15.75" customHeight="1" thickBot="1">
      <c r="A64" s="1209"/>
      <c r="B64" s="2385" t="str">
        <f>IF(B56="", "", B56)</f>
        <v/>
      </c>
      <c r="C64" s="2386"/>
      <c r="D64" s="2386"/>
      <c r="E64" s="2386"/>
      <c r="F64" s="2386"/>
      <c r="G64" s="2386"/>
      <c r="H64" s="2386"/>
      <c r="I64" s="2387"/>
      <c r="J64" s="2395"/>
      <c r="K64" s="2396"/>
      <c r="L64" s="2396"/>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c r="AS64" s="2396"/>
      <c r="AT64" s="2396"/>
      <c r="AU64" s="2396"/>
      <c r="AV64" s="2396"/>
      <c r="AW64" s="239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7" t="s">
        <v>1822</v>
      </c>
      <c r="C68" s="2278"/>
      <c r="D68" s="2278"/>
      <c r="E68" s="2278"/>
      <c r="F68" s="2278"/>
      <c r="G68" s="2278"/>
      <c r="H68" s="2278"/>
      <c r="I68" s="2278"/>
      <c r="J68" s="2278"/>
      <c r="K68" s="2278"/>
      <c r="L68" s="2278"/>
      <c r="M68" s="2278"/>
      <c r="N68" s="2278"/>
      <c r="O68" s="2278"/>
      <c r="P68" s="2278"/>
      <c r="Q68" s="2278"/>
      <c r="R68" s="2278"/>
      <c r="S68" s="2278"/>
      <c r="T68" s="2278"/>
      <c r="U68" s="2278"/>
      <c r="V68" s="2278"/>
      <c r="W68" s="2278"/>
      <c r="X68" s="2278"/>
      <c r="Y68" s="2278"/>
      <c r="Z68" s="2278"/>
      <c r="AA68" s="2279"/>
      <c r="AB68" s="1209"/>
      <c r="AC68" s="2472" t="s">
        <v>1823</v>
      </c>
      <c r="AD68" s="2473"/>
      <c r="AE68" s="2473"/>
      <c r="AF68" s="2473"/>
      <c r="AG68" s="2473"/>
      <c r="AH68" s="2473"/>
      <c r="AI68" s="2473"/>
      <c r="AJ68" s="2473"/>
      <c r="AK68" s="2473"/>
      <c r="AL68" s="2473"/>
      <c r="AM68" s="2473"/>
      <c r="AN68" s="2473"/>
      <c r="AO68" s="2473"/>
      <c r="AP68" s="2473"/>
      <c r="AQ68" s="2473"/>
      <c r="AR68" s="2473"/>
      <c r="AS68" s="2473"/>
      <c r="AT68" s="2473"/>
      <c r="AU68" s="2473"/>
      <c r="AV68" s="2601" t="s">
        <v>678</v>
      </c>
      <c r="AW68" s="2431"/>
      <c r="AX68" s="2431"/>
      <c r="AY68" s="2431"/>
      <c r="AZ68" s="2431"/>
      <c r="BA68" s="2431"/>
      <c r="BB68" s="2431"/>
      <c r="BC68" s="2432"/>
      <c r="BD68" s="1209"/>
      <c r="BE68" s="1205"/>
      <c r="BM68" s="1254" t="s">
        <v>2476</v>
      </c>
    </row>
    <row r="69" spans="1:65" ht="15.75" customHeight="1" thickTop="1" thickBot="1">
      <c r="A69" s="1209"/>
      <c r="B69" s="2602" t="s">
        <v>1824</v>
      </c>
      <c r="C69" s="2603"/>
      <c r="D69" s="2603"/>
      <c r="E69" s="2603"/>
      <c r="F69" s="2603"/>
      <c r="G69" s="2603"/>
      <c r="H69" s="2603"/>
      <c r="I69" s="2603"/>
      <c r="J69" s="2603"/>
      <c r="K69" s="2603"/>
      <c r="L69" s="2603"/>
      <c r="M69" s="2603"/>
      <c r="N69" s="2603"/>
      <c r="O69" s="2604" t="s">
        <v>1825</v>
      </c>
      <c r="P69" s="2605"/>
      <c r="Q69" s="2605"/>
      <c r="R69" s="2605"/>
      <c r="S69" s="2605"/>
      <c r="T69" s="2605"/>
      <c r="U69" s="2605"/>
      <c r="V69" s="2605"/>
      <c r="W69" s="2605"/>
      <c r="X69" s="2605"/>
      <c r="Y69" s="2605"/>
      <c r="Z69" s="2605"/>
      <c r="AA69" s="2606"/>
      <c r="AB69" s="1209"/>
      <c r="AC69" s="2607" t="s">
        <v>1826</v>
      </c>
      <c r="AD69" s="2608"/>
      <c r="AE69" s="2608"/>
      <c r="AF69" s="2608"/>
      <c r="AG69" s="2608"/>
      <c r="AH69" s="2608"/>
      <c r="AI69" s="2608"/>
      <c r="AJ69" s="2608"/>
      <c r="AK69" s="2608"/>
      <c r="AL69" s="2608"/>
      <c r="AM69" s="2608"/>
      <c r="AN69" s="2608"/>
      <c r="AO69" s="2608"/>
      <c r="AP69" s="2608"/>
      <c r="AQ69" s="2608"/>
      <c r="AR69" s="2608"/>
      <c r="AS69" s="2608"/>
      <c r="AT69" s="2608"/>
      <c r="AU69" s="2608"/>
      <c r="AV69" s="2609"/>
      <c r="AW69" s="2610"/>
      <c r="AX69" s="2610"/>
      <c r="AY69" s="2610"/>
      <c r="AZ69" s="2610"/>
      <c r="BA69" s="2610"/>
      <c r="BB69" s="2610"/>
      <c r="BC69" s="2611"/>
      <c r="BD69" s="1209"/>
      <c r="BE69" s="1205"/>
      <c r="BM69" s="1253" t="s">
        <v>554</v>
      </c>
    </row>
    <row r="70" spans="1:65" ht="15.75" customHeight="1">
      <c r="A70" s="1209"/>
      <c r="B70" s="2325" t="s">
        <v>2477</v>
      </c>
      <c r="C70" s="2326"/>
      <c r="D70" s="2326"/>
      <c r="E70" s="2326"/>
      <c r="F70" s="2326"/>
      <c r="G70" s="2326"/>
      <c r="H70" s="2326"/>
      <c r="I70" s="2326"/>
      <c r="J70" s="2326"/>
      <c r="K70" s="2326"/>
      <c r="L70" s="2326"/>
      <c r="M70" s="2326"/>
      <c r="N70" s="2326"/>
      <c r="O70" s="2405">
        <v>0</v>
      </c>
      <c r="P70" s="2405"/>
      <c r="Q70" s="2405"/>
      <c r="R70" s="2405"/>
      <c r="S70" s="2405"/>
      <c r="T70" s="2405"/>
      <c r="U70" s="2405"/>
      <c r="V70" s="2405"/>
      <c r="W70" s="2405"/>
      <c r="X70" s="2405"/>
      <c r="Y70" s="2405"/>
      <c r="Z70" s="2405"/>
      <c r="AA70" s="2406"/>
      <c r="AB70" s="1209"/>
      <c r="AC70" s="2365" t="s">
        <v>1827</v>
      </c>
      <c r="AD70" s="2366"/>
      <c r="AE70" s="2366"/>
      <c r="AF70" s="2409" t="s">
        <v>2702</v>
      </c>
      <c r="AG70" s="2409"/>
      <c r="AH70" s="2409"/>
      <c r="AI70" s="2409"/>
      <c r="AJ70" s="2409"/>
      <c r="AK70" s="2409"/>
      <c r="AL70" s="2409"/>
      <c r="AM70" s="2409"/>
      <c r="AN70" s="2409"/>
      <c r="AO70" s="2409"/>
      <c r="AP70" s="2409"/>
      <c r="AQ70" s="2409"/>
      <c r="AR70" s="2409"/>
      <c r="AS70" s="2409"/>
      <c r="AT70" s="2409"/>
      <c r="AU70" s="2410"/>
      <c r="AV70" s="1209"/>
      <c r="AW70" s="1209"/>
      <c r="AX70" s="1209"/>
      <c r="AY70" s="1209"/>
      <c r="AZ70" s="1209"/>
      <c r="BA70" s="1209"/>
      <c r="BB70" s="1209"/>
      <c r="BC70" s="1209"/>
      <c r="BD70" s="1209"/>
      <c r="BE70" s="1205"/>
      <c r="BM70" s="1252" t="s">
        <v>678</v>
      </c>
    </row>
    <row r="71" spans="1:65" ht="15.75" customHeight="1" thickBot="1">
      <c r="A71" s="1209"/>
      <c r="B71" s="2325" t="s">
        <v>2478</v>
      </c>
      <c r="C71" s="2326"/>
      <c r="D71" s="2326"/>
      <c r="E71" s="2326"/>
      <c r="F71" s="2326"/>
      <c r="G71" s="2326"/>
      <c r="H71" s="2326"/>
      <c r="I71" s="2326"/>
      <c r="J71" s="2326"/>
      <c r="K71" s="2326"/>
      <c r="L71" s="2326"/>
      <c r="M71" s="2326"/>
      <c r="N71" s="2326"/>
      <c r="O71" s="2405">
        <v>0</v>
      </c>
      <c r="P71" s="2405"/>
      <c r="Q71" s="2405"/>
      <c r="R71" s="2405"/>
      <c r="S71" s="2405"/>
      <c r="T71" s="2405"/>
      <c r="U71" s="2405"/>
      <c r="V71" s="2405"/>
      <c r="W71" s="2405"/>
      <c r="X71" s="2405"/>
      <c r="Y71" s="2405"/>
      <c r="Z71" s="2405"/>
      <c r="AA71" s="2406"/>
      <c r="AB71" s="1209"/>
      <c r="AC71" s="2411" t="s">
        <v>1828</v>
      </c>
      <c r="AD71" s="2412"/>
      <c r="AE71" s="2412"/>
      <c r="AF71" s="2396" t="s">
        <v>2754</v>
      </c>
      <c r="AG71" s="2396"/>
      <c r="AH71" s="2396"/>
      <c r="AI71" s="2396"/>
      <c r="AJ71" s="2396"/>
      <c r="AK71" s="2396"/>
      <c r="AL71" s="2396"/>
      <c r="AM71" s="2396"/>
      <c r="AN71" s="2396"/>
      <c r="AO71" s="2396"/>
      <c r="AP71" s="2396"/>
      <c r="AQ71" s="2396"/>
      <c r="AR71" s="2396"/>
      <c r="AS71" s="2396"/>
      <c r="AT71" s="2396"/>
      <c r="AU71" s="2397"/>
      <c r="AV71" s="1209"/>
      <c r="AW71" s="1209"/>
      <c r="AX71" s="1209"/>
      <c r="AY71" s="1209"/>
      <c r="AZ71" s="1209"/>
      <c r="BA71" s="1209"/>
      <c r="BB71" s="1209"/>
      <c r="BC71" s="1209"/>
      <c r="BD71" s="1209"/>
      <c r="BE71" s="1205"/>
      <c r="BM71" s="1200" t="s">
        <v>2479</v>
      </c>
    </row>
    <row r="72" spans="1:65" ht="15.75" customHeight="1">
      <c r="A72" s="1209"/>
      <c r="B72" s="2325" t="s">
        <v>2480</v>
      </c>
      <c r="C72" s="2326"/>
      <c r="D72" s="2326"/>
      <c r="E72" s="2326"/>
      <c r="F72" s="2326"/>
      <c r="G72" s="2326"/>
      <c r="H72" s="2326"/>
      <c r="I72" s="2326"/>
      <c r="J72" s="2326"/>
      <c r="K72" s="2326"/>
      <c r="L72" s="2326"/>
      <c r="M72" s="2326"/>
      <c r="N72" s="2326"/>
      <c r="O72" s="2405">
        <v>0</v>
      </c>
      <c r="P72" s="2405"/>
      <c r="Q72" s="2405"/>
      <c r="R72" s="2405"/>
      <c r="S72" s="2405"/>
      <c r="T72" s="2405"/>
      <c r="U72" s="2405"/>
      <c r="V72" s="2405"/>
      <c r="W72" s="2405"/>
      <c r="X72" s="2405"/>
      <c r="Y72" s="2405"/>
      <c r="Z72" s="2405"/>
      <c r="AA72" s="2406"/>
      <c r="AB72" s="1209"/>
      <c r="AC72" s="2616" t="s">
        <v>2481</v>
      </c>
      <c r="AD72" s="2617"/>
      <c r="AE72" s="2617"/>
      <c r="AF72" s="2617"/>
      <c r="AG72" s="2617"/>
      <c r="AH72" s="2617"/>
      <c r="AI72" s="2617"/>
      <c r="AJ72" s="2617"/>
      <c r="AK72" s="2617"/>
      <c r="AL72" s="2617"/>
      <c r="AM72" s="2617"/>
      <c r="AN72" s="2617"/>
      <c r="AO72" s="2617"/>
      <c r="AP72" s="2617"/>
      <c r="AQ72" s="2617"/>
      <c r="AR72" s="2617"/>
      <c r="AS72" s="2617"/>
      <c r="AT72" s="2617"/>
      <c r="AU72" s="2617"/>
      <c r="AV72" s="2366"/>
      <c r="AW72" s="2366"/>
      <c r="AX72" s="2366"/>
      <c r="AY72" s="2366"/>
      <c r="AZ72" s="2366"/>
      <c r="BA72" s="2366"/>
      <c r="BB72" s="2366"/>
      <c r="BC72" s="2367"/>
      <c r="BD72" s="1209"/>
      <c r="BE72" s="1205"/>
    </row>
    <row r="73" spans="1:65" ht="15.75" customHeight="1">
      <c r="A73" s="1209"/>
      <c r="B73" s="2357" t="s">
        <v>2753</v>
      </c>
      <c r="C73" s="2358"/>
      <c r="D73" s="2358"/>
      <c r="E73" s="2358"/>
      <c r="F73" s="2358"/>
      <c r="G73" s="2358"/>
      <c r="H73" s="2358"/>
      <c r="I73" s="2358"/>
      <c r="J73" s="2358"/>
      <c r="K73" s="2358"/>
      <c r="L73" s="2358"/>
      <c r="M73" s="2358"/>
      <c r="N73" s="2358"/>
      <c r="O73" s="2405">
        <v>210341</v>
      </c>
      <c r="P73" s="2405"/>
      <c r="Q73" s="2405"/>
      <c r="R73" s="2405"/>
      <c r="S73" s="2405"/>
      <c r="T73" s="2405"/>
      <c r="U73" s="2405"/>
      <c r="V73" s="2405"/>
      <c r="W73" s="2405"/>
      <c r="X73" s="2405"/>
      <c r="Y73" s="2405"/>
      <c r="Z73" s="2405"/>
      <c r="AA73" s="2406"/>
      <c r="AB73" s="1209"/>
      <c r="AC73" s="2398" t="s">
        <v>2755</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404"/>
      <c r="C74" s="2374"/>
      <c r="D74" s="2374"/>
      <c r="E74" s="2374"/>
      <c r="F74" s="2374"/>
      <c r="G74" s="2374"/>
      <c r="H74" s="2374"/>
      <c r="I74" s="2374"/>
      <c r="J74" s="2374"/>
      <c r="K74" s="2374"/>
      <c r="L74" s="2374"/>
      <c r="M74" s="2374"/>
      <c r="N74" s="2374"/>
      <c r="O74" s="2405"/>
      <c r="P74" s="2405"/>
      <c r="Q74" s="2405"/>
      <c r="R74" s="2405"/>
      <c r="S74" s="2405"/>
      <c r="T74" s="2405"/>
      <c r="U74" s="2405"/>
      <c r="V74" s="2405"/>
      <c r="W74" s="2405"/>
      <c r="X74" s="2405"/>
      <c r="Y74" s="2405"/>
      <c r="Z74" s="2405"/>
      <c r="AA74" s="2406"/>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07" t="s">
        <v>124</v>
      </c>
      <c r="C75" s="2408"/>
      <c r="D75" s="2408"/>
      <c r="E75" s="2408"/>
      <c r="F75" s="2408"/>
      <c r="G75" s="2408"/>
      <c r="H75" s="2408"/>
      <c r="I75" s="2408"/>
      <c r="J75" s="2408"/>
      <c r="K75" s="2408"/>
      <c r="L75" s="2408"/>
      <c r="M75" s="2408"/>
      <c r="N75" s="2408"/>
      <c r="O75" s="2592">
        <f>SUM(O70:AA74)</f>
        <v>210341</v>
      </c>
      <c r="P75" s="2592"/>
      <c r="Q75" s="2592"/>
      <c r="R75" s="2592"/>
      <c r="S75" s="2592"/>
      <c r="T75" s="2592"/>
      <c r="U75" s="2592"/>
      <c r="V75" s="2592"/>
      <c r="W75" s="2592"/>
      <c r="X75" s="2592"/>
      <c r="Y75" s="2592"/>
      <c r="Z75" s="2592"/>
      <c r="AA75" s="2593"/>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2616</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94" t="s">
        <v>2650</v>
      </c>
      <c r="G79" s="2595"/>
      <c r="H79" s="2595"/>
      <c r="I79" s="2595"/>
      <c r="J79" s="2595"/>
      <c r="K79" s="2595"/>
      <c r="L79" s="2595"/>
      <c r="M79" s="2596"/>
      <c r="N79" s="2596"/>
      <c r="O79" s="2596"/>
      <c r="P79" s="2596"/>
      <c r="Q79" s="25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2608</v>
      </c>
      <c r="C80" s="1243"/>
      <c r="D80" s="1242"/>
      <c r="E80" s="1242"/>
      <c r="F80" s="1242"/>
      <c r="G80" s="1242"/>
      <c r="H80" s="1242"/>
      <c r="I80" s="1242"/>
      <c r="J80" s="1242"/>
      <c r="K80" s="1242"/>
      <c r="L80" s="1241"/>
      <c r="M80" s="1242"/>
      <c r="N80" s="1241"/>
      <c r="O80" s="2598" t="e">
        <f>BR96/SUM($BR$96:$BR$98)</f>
        <v>#DIV/0!</v>
      </c>
      <c r="P80" s="2599"/>
      <c r="Q80" s="260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2615</v>
      </c>
      <c r="C81" s="1247"/>
      <c r="D81" s="1229"/>
      <c r="E81" s="1229"/>
      <c r="F81" s="1229"/>
      <c r="G81" s="1229"/>
      <c r="H81" s="1229"/>
      <c r="I81" s="1229"/>
      <c r="J81" s="1229"/>
      <c r="K81" s="1229"/>
      <c r="L81" s="1229"/>
      <c r="M81" s="1229"/>
      <c r="N81" s="1249"/>
      <c r="O81" s="2612">
        <v>0.49</v>
      </c>
      <c r="P81" s="2613"/>
      <c r="Q81" s="261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5" t="s">
        <v>2171</v>
      </c>
      <c r="C83" s="2216"/>
      <c r="D83" s="2216"/>
      <c r="E83" s="2216"/>
      <c r="F83" s="2216"/>
      <c r="G83" s="2216"/>
      <c r="H83" s="2216"/>
      <c r="I83" s="2216"/>
      <c r="J83" s="2216"/>
      <c r="K83" s="2216"/>
      <c r="L83" s="2216"/>
      <c r="M83" s="2216"/>
      <c r="N83" s="2216"/>
      <c r="O83" s="2216"/>
      <c r="P83" s="2216"/>
      <c r="Q83" s="2216"/>
      <c r="R83" s="2216"/>
      <c r="S83" s="2216"/>
      <c r="T83" s="2216"/>
      <c r="U83" s="2216"/>
      <c r="V83" s="2216"/>
      <c r="W83" s="2216"/>
      <c r="X83" s="2216"/>
      <c r="Y83" s="2216"/>
      <c r="Z83" s="2216"/>
      <c r="AA83" s="2216"/>
      <c r="AB83" s="2216"/>
      <c r="AC83" s="2216"/>
      <c r="AD83" s="2216"/>
      <c r="AE83" s="2216"/>
      <c r="AF83" s="2216"/>
      <c r="AG83" s="2216"/>
      <c r="AH83" s="2217"/>
      <c r="AI83" s="1209"/>
      <c r="AJ83" s="2251" t="s">
        <v>2614</v>
      </c>
      <c r="AK83" s="2252"/>
      <c r="AL83" s="2252"/>
      <c r="AM83" s="2252"/>
      <c r="AN83" s="2252"/>
      <c r="AO83" s="2252"/>
      <c r="AP83" s="2252"/>
      <c r="AQ83" s="2252"/>
      <c r="AR83" s="2252"/>
      <c r="AS83" s="2252"/>
      <c r="AT83" s="2252"/>
      <c r="AU83" s="2252"/>
      <c r="AV83" s="2252"/>
      <c r="AW83" s="2252"/>
      <c r="AX83" s="2252"/>
      <c r="AY83" s="2255" t="s">
        <v>554</v>
      </c>
      <c r="AZ83" s="2255"/>
      <c r="BA83" s="2255"/>
      <c r="BB83" s="2256"/>
      <c r="BC83" s="1209"/>
      <c r="BD83" s="1209"/>
      <c r="BE83" s="1205"/>
    </row>
    <row r="84" spans="1:70" ht="15.75" customHeight="1">
      <c r="A84" s="1209"/>
      <c r="B84" s="2210"/>
      <c r="C84" s="2211"/>
      <c r="D84" s="2211"/>
      <c r="E84" s="2211"/>
      <c r="F84" s="2211"/>
      <c r="G84" s="2211"/>
      <c r="H84" s="2211"/>
      <c r="I84" s="2211" t="s">
        <v>1829</v>
      </c>
      <c r="J84" s="2211"/>
      <c r="K84" s="2211"/>
      <c r="L84" s="2211"/>
      <c r="M84" s="2211"/>
      <c r="N84" s="2211"/>
      <c r="O84" s="2211" t="s">
        <v>1830</v>
      </c>
      <c r="P84" s="2211"/>
      <c r="Q84" s="2211"/>
      <c r="R84" s="2211"/>
      <c r="S84" s="2211"/>
      <c r="T84" s="2211"/>
      <c r="U84" s="2211"/>
      <c r="V84" s="2207" t="s">
        <v>2186</v>
      </c>
      <c r="W84" s="2207"/>
      <c r="X84" s="2207"/>
      <c r="Y84" s="2207"/>
      <c r="Z84" s="2207"/>
      <c r="AA84" s="2207"/>
      <c r="AB84" s="2208" t="s">
        <v>1831</v>
      </c>
      <c r="AC84" s="2208"/>
      <c r="AD84" s="2208"/>
      <c r="AE84" s="2208"/>
      <c r="AF84" s="2208"/>
      <c r="AG84" s="2208"/>
      <c r="AH84" s="2209"/>
      <c r="AI84" s="1209"/>
      <c r="AJ84" s="2253"/>
      <c r="AK84" s="2254"/>
      <c r="AL84" s="2254"/>
      <c r="AM84" s="2254"/>
      <c r="AN84" s="2254"/>
      <c r="AO84" s="2254"/>
      <c r="AP84" s="2254"/>
      <c r="AQ84" s="2254"/>
      <c r="AR84" s="2254"/>
      <c r="AS84" s="2254"/>
      <c r="AT84" s="2254"/>
      <c r="AU84" s="2254"/>
      <c r="AV84" s="2254"/>
      <c r="AW84" s="2254"/>
      <c r="AX84" s="2254"/>
      <c r="AY84" s="2257"/>
      <c r="AZ84" s="2257"/>
      <c r="BA84" s="2257"/>
      <c r="BB84" s="2258"/>
      <c r="BC84" s="1209"/>
      <c r="BD84" s="1209"/>
      <c r="BE84" s="1205"/>
    </row>
    <row r="85" spans="1:70" ht="15.75" customHeight="1">
      <c r="A85" s="1209"/>
      <c r="B85" s="2210"/>
      <c r="C85" s="2211"/>
      <c r="D85" s="2211"/>
      <c r="E85" s="2211"/>
      <c r="F85" s="2211"/>
      <c r="G85" s="2211"/>
      <c r="H85" s="2211"/>
      <c r="I85" s="2211"/>
      <c r="J85" s="2211"/>
      <c r="K85" s="2211"/>
      <c r="L85" s="2211"/>
      <c r="M85" s="2211"/>
      <c r="N85" s="2211"/>
      <c r="O85" s="2211"/>
      <c r="P85" s="2211"/>
      <c r="Q85" s="2211"/>
      <c r="R85" s="2211"/>
      <c r="S85" s="2211"/>
      <c r="T85" s="2211"/>
      <c r="U85" s="2211"/>
      <c r="V85" s="2207"/>
      <c r="W85" s="2207"/>
      <c r="X85" s="2207"/>
      <c r="Y85" s="2207"/>
      <c r="Z85" s="2207"/>
      <c r="AA85" s="2207"/>
      <c r="AB85" s="2208"/>
      <c r="AC85" s="2208"/>
      <c r="AD85" s="2208"/>
      <c r="AE85" s="2208"/>
      <c r="AF85" s="2208"/>
      <c r="AG85" s="2208"/>
      <c r="AH85" s="2209"/>
      <c r="AI85" s="1209"/>
      <c r="AJ85" s="2253"/>
      <c r="AK85" s="2254"/>
      <c r="AL85" s="2254"/>
      <c r="AM85" s="2254"/>
      <c r="AN85" s="2254"/>
      <c r="AO85" s="2254"/>
      <c r="AP85" s="2254"/>
      <c r="AQ85" s="2254"/>
      <c r="AR85" s="2254"/>
      <c r="AS85" s="2254"/>
      <c r="AT85" s="2254"/>
      <c r="AU85" s="2254"/>
      <c r="AV85" s="2254"/>
      <c r="AW85" s="2254"/>
      <c r="AX85" s="2254"/>
      <c r="AY85" s="2257"/>
      <c r="AZ85" s="2257"/>
      <c r="BA85" s="2257"/>
      <c r="BB85" s="2258"/>
      <c r="BC85" s="1209"/>
      <c r="BD85" s="1209"/>
      <c r="BE85" s="1205"/>
    </row>
    <row r="86" spans="1:70" ht="15.75" customHeight="1">
      <c r="A86" s="1209"/>
      <c r="B86" s="2210" t="s">
        <v>2172</v>
      </c>
      <c r="C86" s="2211"/>
      <c r="D86" s="2211"/>
      <c r="E86" s="2211"/>
      <c r="F86" s="2211"/>
      <c r="G86" s="2211"/>
      <c r="H86" s="2211"/>
      <c r="I86" s="2212">
        <v>7</v>
      </c>
      <c r="J86" s="2212"/>
      <c r="K86" s="2212"/>
      <c r="L86" s="2212"/>
      <c r="M86" s="2212"/>
      <c r="N86" s="2212"/>
      <c r="O86" s="2212">
        <v>10</v>
      </c>
      <c r="P86" s="2212"/>
      <c r="Q86" s="2212"/>
      <c r="R86" s="2212"/>
      <c r="S86" s="2212"/>
      <c r="T86" s="2212"/>
      <c r="U86" s="2212"/>
      <c r="V86" s="2212">
        <v>7</v>
      </c>
      <c r="W86" s="2212"/>
      <c r="X86" s="2212"/>
      <c r="Y86" s="2212"/>
      <c r="Z86" s="2212"/>
      <c r="AA86" s="2212"/>
      <c r="AB86" s="2212">
        <v>2</v>
      </c>
      <c r="AC86" s="2212"/>
      <c r="AD86" s="2212"/>
      <c r="AE86" s="2212"/>
      <c r="AF86" s="2212"/>
      <c r="AG86" s="2212"/>
      <c r="AH86" s="2218"/>
      <c r="AI86" s="1209"/>
      <c r="AJ86" s="2253"/>
      <c r="AK86" s="2254"/>
      <c r="AL86" s="2254"/>
      <c r="AM86" s="2254"/>
      <c r="AN86" s="2254"/>
      <c r="AO86" s="2254"/>
      <c r="AP86" s="2254"/>
      <c r="AQ86" s="2254"/>
      <c r="AR86" s="2254"/>
      <c r="AS86" s="2254"/>
      <c r="AT86" s="2254"/>
      <c r="AU86" s="2254"/>
      <c r="AV86" s="2254"/>
      <c r="AW86" s="2254"/>
      <c r="AX86" s="2254"/>
      <c r="AY86" s="2257"/>
      <c r="AZ86" s="2257"/>
      <c r="BA86" s="2257"/>
      <c r="BB86" s="2258"/>
      <c r="BC86" s="1209"/>
      <c r="BD86" s="1209"/>
      <c r="BE86" s="1205"/>
    </row>
    <row r="87" spans="1:70" ht="15.75" customHeight="1">
      <c r="A87" s="1209"/>
      <c r="B87" s="2210" t="s">
        <v>2173</v>
      </c>
      <c r="C87" s="2211"/>
      <c r="D87" s="2211"/>
      <c r="E87" s="2211"/>
      <c r="F87" s="2211"/>
      <c r="G87" s="2211"/>
      <c r="H87" s="2211"/>
      <c r="I87" s="2212">
        <v>0</v>
      </c>
      <c r="J87" s="2212"/>
      <c r="K87" s="2212"/>
      <c r="L87" s="2212"/>
      <c r="M87" s="2212"/>
      <c r="N87" s="2212"/>
      <c r="O87" s="2212">
        <v>0</v>
      </c>
      <c r="P87" s="2212"/>
      <c r="Q87" s="2212"/>
      <c r="R87" s="2212"/>
      <c r="S87" s="2212"/>
      <c r="T87" s="2212"/>
      <c r="U87" s="2212"/>
      <c r="V87" s="2212">
        <v>0</v>
      </c>
      <c r="W87" s="2212"/>
      <c r="X87" s="2212"/>
      <c r="Y87" s="2212"/>
      <c r="Z87" s="2212"/>
      <c r="AA87" s="2212"/>
      <c r="AB87" s="2212">
        <v>0</v>
      </c>
      <c r="AC87" s="2212"/>
      <c r="AD87" s="2212"/>
      <c r="AE87" s="2212"/>
      <c r="AF87" s="2212"/>
      <c r="AG87" s="2212"/>
      <c r="AH87" s="2218"/>
      <c r="AI87" s="1209"/>
      <c r="AJ87" s="2224" t="s">
        <v>2482</v>
      </c>
      <c r="AK87" s="2225"/>
      <c r="AL87" s="2225"/>
      <c r="AM87" s="2225"/>
      <c r="AN87" s="2225"/>
      <c r="AO87" s="2225"/>
      <c r="AP87" s="2225"/>
      <c r="AQ87" s="2225"/>
      <c r="AR87" s="2225"/>
      <c r="AS87" s="2225"/>
      <c r="AT87" s="2225"/>
      <c r="AU87" s="2225"/>
      <c r="AV87" s="2225"/>
      <c r="AW87" s="2225"/>
      <c r="AX87" s="2225"/>
      <c r="AY87" s="2225"/>
      <c r="AZ87" s="2225"/>
      <c r="BA87" s="2225"/>
      <c r="BB87" s="2226"/>
      <c r="BC87" s="1209"/>
      <c r="BD87" s="1209"/>
      <c r="BE87" s="1205"/>
    </row>
    <row r="88" spans="1:70" ht="15.75" customHeight="1" thickBot="1">
      <c r="A88" s="1209"/>
      <c r="B88" s="2230" t="s">
        <v>1832</v>
      </c>
      <c r="C88" s="2231"/>
      <c r="D88" s="2231"/>
      <c r="E88" s="2231"/>
      <c r="F88" s="2231"/>
      <c r="G88" s="2231"/>
      <c r="H88" s="2231"/>
      <c r="I88" s="2232">
        <v>1042</v>
      </c>
      <c r="J88" s="2232"/>
      <c r="K88" s="2232"/>
      <c r="L88" s="2232"/>
      <c r="M88" s="2232"/>
      <c r="N88" s="2232"/>
      <c r="O88" s="2232">
        <v>1033</v>
      </c>
      <c r="P88" s="2232"/>
      <c r="Q88" s="2232"/>
      <c r="R88" s="2232"/>
      <c r="S88" s="2232"/>
      <c r="T88" s="2232"/>
      <c r="U88" s="2232"/>
      <c r="V88" s="2232">
        <v>397</v>
      </c>
      <c r="W88" s="2232"/>
      <c r="X88" s="2232"/>
      <c r="Y88" s="2232"/>
      <c r="Z88" s="2232"/>
      <c r="AA88" s="2232"/>
      <c r="AB88" s="2232">
        <v>69</v>
      </c>
      <c r="AC88" s="2232"/>
      <c r="AD88" s="2232"/>
      <c r="AE88" s="2232"/>
      <c r="AF88" s="2232"/>
      <c r="AG88" s="2232"/>
      <c r="AH88" s="2233"/>
      <c r="AI88" s="1209"/>
      <c r="AJ88" s="2227"/>
      <c r="AK88" s="2228"/>
      <c r="AL88" s="2228"/>
      <c r="AM88" s="2228"/>
      <c r="AN88" s="2228"/>
      <c r="AO88" s="2228"/>
      <c r="AP88" s="2228"/>
      <c r="AQ88" s="2228"/>
      <c r="AR88" s="2228"/>
      <c r="AS88" s="2228"/>
      <c r="AT88" s="2228"/>
      <c r="AU88" s="2228"/>
      <c r="AV88" s="2228"/>
      <c r="AW88" s="2228"/>
      <c r="AX88" s="2228"/>
      <c r="AY88" s="2228"/>
      <c r="AZ88" s="2228"/>
      <c r="BA88" s="2228"/>
      <c r="BB88" s="222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2613</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15"/>
      <c r="G92" s="2596"/>
      <c r="H92" s="2596"/>
      <c r="I92" s="2596"/>
      <c r="J92" s="2596"/>
      <c r="K92" s="2596"/>
      <c r="L92" s="2596"/>
      <c r="M92" s="2596"/>
      <c r="N92" s="2596"/>
      <c r="O92" s="2596"/>
      <c r="P92" s="2596"/>
      <c r="Q92" s="25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2608</v>
      </c>
      <c r="C93" s="1243"/>
      <c r="D93" s="1242"/>
      <c r="E93" s="1242"/>
      <c r="F93" s="1242"/>
      <c r="G93" s="1242"/>
      <c r="H93" s="1242"/>
      <c r="I93" s="1242"/>
      <c r="J93" s="1242"/>
      <c r="K93" s="1242"/>
      <c r="L93" s="1241"/>
      <c r="M93" s="1242"/>
      <c r="N93" s="1241"/>
      <c r="O93" s="2598" t="e">
        <f>BR97/SUM($BR$96:$BR$98)</f>
        <v>#DIV/0!</v>
      </c>
      <c r="P93" s="2599"/>
      <c r="Q93" s="260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2612</v>
      </c>
      <c r="C94" s="1247"/>
      <c r="D94" s="1229"/>
      <c r="E94" s="1229"/>
      <c r="F94" s="1229"/>
      <c r="G94" s="1229"/>
      <c r="H94" s="1229"/>
      <c r="I94" s="1229"/>
      <c r="J94" s="1229"/>
      <c r="K94" s="1229"/>
      <c r="L94" s="1229"/>
      <c r="M94" s="1229"/>
      <c r="N94" s="1249"/>
      <c r="O94" s="2612"/>
      <c r="P94" s="2613"/>
      <c r="Q94" s="261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5" t="s">
        <v>2611</v>
      </c>
      <c r="C96" s="2216"/>
      <c r="D96" s="2216"/>
      <c r="E96" s="2216"/>
      <c r="F96" s="2216"/>
      <c r="G96" s="2216"/>
      <c r="H96" s="2216"/>
      <c r="I96" s="2216"/>
      <c r="J96" s="2216"/>
      <c r="K96" s="2216"/>
      <c r="L96" s="2216"/>
      <c r="M96" s="2216"/>
      <c r="N96" s="2216"/>
      <c r="O96" s="2216"/>
      <c r="P96" s="2216"/>
      <c r="Q96" s="2216"/>
      <c r="R96" s="2216"/>
      <c r="S96" s="2216"/>
      <c r="T96" s="2216"/>
      <c r="U96" s="2216"/>
      <c r="V96" s="2216"/>
      <c r="W96" s="2216"/>
      <c r="X96" s="2216"/>
      <c r="Y96" s="2216"/>
      <c r="Z96" s="2216"/>
      <c r="AA96" s="2216"/>
      <c r="AB96" s="2216"/>
      <c r="AC96" s="2216"/>
      <c r="AD96" s="2216"/>
      <c r="AE96" s="2216"/>
      <c r="AF96" s="2216"/>
      <c r="AG96" s="2216"/>
      <c r="AH96" s="2217"/>
      <c r="AI96" s="1209"/>
      <c r="AJ96" s="2251" t="s">
        <v>2610</v>
      </c>
      <c r="AK96" s="2252"/>
      <c r="AL96" s="2252"/>
      <c r="AM96" s="2252"/>
      <c r="AN96" s="2252"/>
      <c r="AO96" s="2252"/>
      <c r="AP96" s="2252"/>
      <c r="AQ96" s="2252"/>
      <c r="AR96" s="2252"/>
      <c r="AS96" s="2252"/>
      <c r="AT96" s="2252"/>
      <c r="AU96" s="2252"/>
      <c r="AV96" s="2252"/>
      <c r="AW96" s="2252"/>
      <c r="AX96" s="2252"/>
      <c r="AY96" s="2255" t="s">
        <v>554</v>
      </c>
      <c r="AZ96" s="2255"/>
      <c r="BA96" s="2255"/>
      <c r="BB96" s="2256"/>
      <c r="BC96" s="1209"/>
      <c r="BD96" s="1209"/>
      <c r="BE96" s="1205"/>
      <c r="BQ96" s="1248" t="str">
        <f>Application!M243</f>
        <v>CDP Viscar Terrace LLC</v>
      </c>
      <c r="BR96" s="1248">
        <f>Application!AH245</f>
        <v>0</v>
      </c>
    </row>
    <row r="97" spans="1:70" ht="15.75" customHeight="1">
      <c r="A97" s="1209"/>
      <c r="B97" s="2210"/>
      <c r="C97" s="2211"/>
      <c r="D97" s="2211"/>
      <c r="E97" s="2211"/>
      <c r="F97" s="2211"/>
      <c r="G97" s="2211"/>
      <c r="H97" s="2211"/>
      <c r="I97" s="2211" t="s">
        <v>1829</v>
      </c>
      <c r="J97" s="2211"/>
      <c r="K97" s="2211"/>
      <c r="L97" s="2211"/>
      <c r="M97" s="2211"/>
      <c r="N97" s="2211"/>
      <c r="O97" s="2211" t="s">
        <v>1830</v>
      </c>
      <c r="P97" s="2211"/>
      <c r="Q97" s="2211"/>
      <c r="R97" s="2211"/>
      <c r="S97" s="2211"/>
      <c r="T97" s="2211"/>
      <c r="U97" s="2211"/>
      <c r="V97" s="2207" t="s">
        <v>2186</v>
      </c>
      <c r="W97" s="2207"/>
      <c r="X97" s="2207"/>
      <c r="Y97" s="2207"/>
      <c r="Z97" s="2207"/>
      <c r="AA97" s="2207"/>
      <c r="AB97" s="2208" t="s">
        <v>1831</v>
      </c>
      <c r="AC97" s="2208"/>
      <c r="AD97" s="2208"/>
      <c r="AE97" s="2208"/>
      <c r="AF97" s="2208"/>
      <c r="AG97" s="2208"/>
      <c r="AH97" s="2209"/>
      <c r="AI97" s="1209"/>
      <c r="AJ97" s="2253"/>
      <c r="AK97" s="2254"/>
      <c r="AL97" s="2254"/>
      <c r="AM97" s="2254"/>
      <c r="AN97" s="2254"/>
      <c r="AO97" s="2254"/>
      <c r="AP97" s="2254"/>
      <c r="AQ97" s="2254"/>
      <c r="AR97" s="2254"/>
      <c r="AS97" s="2254"/>
      <c r="AT97" s="2254"/>
      <c r="AU97" s="2254"/>
      <c r="AV97" s="2254"/>
      <c r="AW97" s="2254"/>
      <c r="AX97" s="2254"/>
      <c r="AY97" s="2257"/>
      <c r="AZ97" s="2257"/>
      <c r="BA97" s="2257"/>
      <c r="BB97" s="2258"/>
      <c r="BC97" s="1209"/>
      <c r="BD97" s="1209"/>
      <c r="BE97" s="1205"/>
      <c r="BQ97" s="1248" t="str">
        <f>Application!M251</f>
        <v>PacH Lancaster Holdings, LLC</v>
      </c>
      <c r="BR97" s="1248">
        <f>Application!AH253</f>
        <v>0</v>
      </c>
    </row>
    <row r="98" spans="1:70" ht="15.75" customHeight="1">
      <c r="A98" s="1209"/>
      <c r="B98" s="2210"/>
      <c r="C98" s="2211"/>
      <c r="D98" s="2211"/>
      <c r="E98" s="2211"/>
      <c r="F98" s="2211"/>
      <c r="G98" s="2211"/>
      <c r="H98" s="2211"/>
      <c r="I98" s="2211"/>
      <c r="J98" s="2211"/>
      <c r="K98" s="2211"/>
      <c r="L98" s="2211"/>
      <c r="M98" s="2211"/>
      <c r="N98" s="2211"/>
      <c r="O98" s="2211"/>
      <c r="P98" s="2211"/>
      <c r="Q98" s="2211"/>
      <c r="R98" s="2211"/>
      <c r="S98" s="2211"/>
      <c r="T98" s="2211"/>
      <c r="U98" s="2211"/>
      <c r="V98" s="2207"/>
      <c r="W98" s="2207"/>
      <c r="X98" s="2207"/>
      <c r="Y98" s="2207"/>
      <c r="Z98" s="2207"/>
      <c r="AA98" s="2207"/>
      <c r="AB98" s="2208"/>
      <c r="AC98" s="2208"/>
      <c r="AD98" s="2208"/>
      <c r="AE98" s="2208"/>
      <c r="AF98" s="2208"/>
      <c r="AG98" s="2208"/>
      <c r="AH98" s="2209"/>
      <c r="AI98" s="1209"/>
      <c r="AJ98" s="2253"/>
      <c r="AK98" s="2254"/>
      <c r="AL98" s="2254"/>
      <c r="AM98" s="2254"/>
      <c r="AN98" s="2254"/>
      <c r="AO98" s="2254"/>
      <c r="AP98" s="2254"/>
      <c r="AQ98" s="2254"/>
      <c r="AR98" s="2254"/>
      <c r="AS98" s="2254"/>
      <c r="AT98" s="2254"/>
      <c r="AU98" s="2254"/>
      <c r="AV98" s="2254"/>
      <c r="AW98" s="2254"/>
      <c r="AX98" s="2254"/>
      <c r="AY98" s="2257"/>
      <c r="AZ98" s="2257"/>
      <c r="BA98" s="2257"/>
      <c r="BB98" s="2258"/>
      <c r="BC98" s="1209"/>
      <c r="BD98" s="1209"/>
      <c r="BE98" s="1205"/>
      <c r="BQ98" s="1248">
        <f>Application!M259</f>
        <v>0</v>
      </c>
      <c r="BR98" s="1248">
        <f>Application!AH261</f>
        <v>0</v>
      </c>
    </row>
    <row r="99" spans="1:70" ht="15.75" customHeight="1">
      <c r="A99" s="1209"/>
      <c r="B99" s="2210" t="s">
        <v>2172</v>
      </c>
      <c r="C99" s="2211"/>
      <c r="D99" s="2211"/>
      <c r="E99" s="2211"/>
      <c r="F99" s="2211"/>
      <c r="G99" s="2211"/>
      <c r="H99" s="2211"/>
      <c r="I99" s="2212">
        <v>1</v>
      </c>
      <c r="J99" s="2212"/>
      <c r="K99" s="2212"/>
      <c r="L99" s="2212"/>
      <c r="M99" s="2212"/>
      <c r="N99" s="2212"/>
      <c r="O99" s="2212">
        <v>2</v>
      </c>
      <c r="P99" s="2212"/>
      <c r="Q99" s="2212"/>
      <c r="R99" s="2212"/>
      <c r="S99" s="2212"/>
      <c r="T99" s="2212"/>
      <c r="U99" s="2212"/>
      <c r="V99" s="2212">
        <v>3</v>
      </c>
      <c r="W99" s="2212"/>
      <c r="X99" s="2212"/>
      <c r="Y99" s="2212"/>
      <c r="Z99" s="2212"/>
      <c r="AA99" s="2212"/>
      <c r="AB99" s="2212">
        <v>1</v>
      </c>
      <c r="AC99" s="2212"/>
      <c r="AD99" s="2212"/>
      <c r="AE99" s="2212"/>
      <c r="AF99" s="2212"/>
      <c r="AG99" s="2212"/>
      <c r="AH99" s="2218"/>
      <c r="AI99" s="1209"/>
      <c r="AJ99" s="2253"/>
      <c r="AK99" s="2254"/>
      <c r="AL99" s="2254"/>
      <c r="AM99" s="2254"/>
      <c r="AN99" s="2254"/>
      <c r="AO99" s="2254"/>
      <c r="AP99" s="2254"/>
      <c r="AQ99" s="2254"/>
      <c r="AR99" s="2254"/>
      <c r="AS99" s="2254"/>
      <c r="AT99" s="2254"/>
      <c r="AU99" s="2254"/>
      <c r="AV99" s="2254"/>
      <c r="AW99" s="2254"/>
      <c r="AX99" s="2254"/>
      <c r="AY99" s="2257"/>
      <c r="AZ99" s="2257"/>
      <c r="BA99" s="2257"/>
      <c r="BB99" s="2258"/>
      <c r="BC99" s="1209"/>
      <c r="BD99" s="1209"/>
      <c r="BE99" s="1205"/>
    </row>
    <row r="100" spans="1:70" ht="15.75" customHeight="1">
      <c r="A100" s="1209"/>
      <c r="B100" s="2210" t="s">
        <v>2173</v>
      </c>
      <c r="C100" s="2211"/>
      <c r="D100" s="2211"/>
      <c r="E100" s="2211"/>
      <c r="F100" s="2211"/>
      <c r="G100" s="2211"/>
      <c r="H100" s="2211"/>
      <c r="I100" s="2212">
        <v>0</v>
      </c>
      <c r="J100" s="2212"/>
      <c r="K100" s="2212"/>
      <c r="L100" s="2212"/>
      <c r="M100" s="2212"/>
      <c r="N100" s="2212"/>
      <c r="O100" s="2212">
        <v>0</v>
      </c>
      <c r="P100" s="2212"/>
      <c r="Q100" s="2212"/>
      <c r="R100" s="2212"/>
      <c r="S100" s="2212"/>
      <c r="T100" s="2212"/>
      <c r="U100" s="2212"/>
      <c r="V100" s="2212">
        <v>0</v>
      </c>
      <c r="W100" s="2212"/>
      <c r="X100" s="2212"/>
      <c r="Y100" s="2212"/>
      <c r="Z100" s="2212"/>
      <c r="AA100" s="2212"/>
      <c r="AB100" s="2212">
        <v>0</v>
      </c>
      <c r="AC100" s="2212"/>
      <c r="AD100" s="2212"/>
      <c r="AE100" s="2212"/>
      <c r="AF100" s="2212"/>
      <c r="AG100" s="2212"/>
      <c r="AH100" s="2218"/>
      <c r="AI100" s="1209"/>
      <c r="AJ100" s="2224" t="s">
        <v>2482</v>
      </c>
      <c r="AK100" s="2225"/>
      <c r="AL100" s="2225"/>
      <c r="AM100" s="2225"/>
      <c r="AN100" s="2225"/>
      <c r="AO100" s="2225"/>
      <c r="AP100" s="2225"/>
      <c r="AQ100" s="2225"/>
      <c r="AR100" s="2225"/>
      <c r="AS100" s="2225"/>
      <c r="AT100" s="2225"/>
      <c r="AU100" s="2225"/>
      <c r="AV100" s="2225"/>
      <c r="AW100" s="2225"/>
      <c r="AX100" s="2225"/>
      <c r="AY100" s="2225"/>
      <c r="AZ100" s="2225"/>
      <c r="BA100" s="2225"/>
      <c r="BB100" s="2226"/>
      <c r="BC100" s="1209"/>
      <c r="BD100" s="1209"/>
      <c r="BE100" s="1205"/>
    </row>
    <row r="101" spans="1:70" ht="15.75" customHeight="1" thickBot="1">
      <c r="A101" s="1209"/>
      <c r="B101" s="2230" t="s">
        <v>1832</v>
      </c>
      <c r="C101" s="2231"/>
      <c r="D101" s="2231"/>
      <c r="E101" s="2231"/>
      <c r="F101" s="2231"/>
      <c r="G101" s="2231"/>
      <c r="H101" s="2231"/>
      <c r="I101" s="2232">
        <v>172</v>
      </c>
      <c r="J101" s="2232"/>
      <c r="K101" s="2232"/>
      <c r="L101" s="2232"/>
      <c r="M101" s="2232"/>
      <c r="N101" s="2232"/>
      <c r="O101" s="2232">
        <f>139+91</f>
        <v>230</v>
      </c>
      <c r="P101" s="2232"/>
      <c r="Q101" s="2232"/>
      <c r="R101" s="2232"/>
      <c r="S101" s="2232"/>
      <c r="T101" s="2232"/>
      <c r="U101" s="2232"/>
      <c r="V101" s="2232">
        <f>58+55+134</f>
        <v>247</v>
      </c>
      <c r="W101" s="2232"/>
      <c r="X101" s="2232"/>
      <c r="Y101" s="2232"/>
      <c r="Z101" s="2232"/>
      <c r="AA101" s="2232"/>
      <c r="AB101" s="2232">
        <v>1</v>
      </c>
      <c r="AC101" s="2232"/>
      <c r="AD101" s="2232"/>
      <c r="AE101" s="2232"/>
      <c r="AF101" s="2232"/>
      <c r="AG101" s="2232"/>
      <c r="AH101" s="2233"/>
      <c r="AI101" s="1209"/>
      <c r="AJ101" s="2227"/>
      <c r="AK101" s="2228"/>
      <c r="AL101" s="2228"/>
      <c r="AM101" s="2228"/>
      <c r="AN101" s="2228"/>
      <c r="AO101" s="2228"/>
      <c r="AP101" s="2228"/>
      <c r="AQ101" s="2228"/>
      <c r="AR101" s="2228"/>
      <c r="AS101" s="2228"/>
      <c r="AT101" s="2228"/>
      <c r="AU101" s="2228"/>
      <c r="AV101" s="2228"/>
      <c r="AW101" s="2228"/>
      <c r="AX101" s="2228"/>
      <c r="AY101" s="2228"/>
      <c r="AZ101" s="2228"/>
      <c r="BA101" s="2228"/>
      <c r="BB101" s="222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2609</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53" t="s">
        <v>2652</v>
      </c>
      <c r="G104" s="2554"/>
      <c r="H104" s="2554"/>
      <c r="I104" s="2554"/>
      <c r="J104" s="2554"/>
      <c r="K104" s="2554"/>
      <c r="L104" s="2554"/>
      <c r="M104" s="2554"/>
      <c r="N104" s="2554"/>
      <c r="O104" s="2554"/>
      <c r="P104" s="2554"/>
      <c r="Q104" s="2554"/>
      <c r="R104" s="255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2608</v>
      </c>
      <c r="C105" s="1243"/>
      <c r="D105" s="1242"/>
      <c r="E105" s="1242"/>
      <c r="F105" s="1242"/>
      <c r="G105" s="1242"/>
      <c r="H105" s="1242"/>
      <c r="I105" s="1242"/>
      <c r="J105" s="1242"/>
      <c r="K105" s="1242"/>
      <c r="L105" s="1241"/>
      <c r="M105" s="1242"/>
      <c r="N105" s="1241"/>
      <c r="O105" s="2612" t="e">
        <f>BR98/SUM(BR96:BR98)</f>
        <v>#DIV/0!</v>
      </c>
      <c r="P105" s="2613"/>
      <c r="Q105" s="2613"/>
      <c r="R105" s="261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2" t="s">
        <v>2607</v>
      </c>
      <c r="C107" s="2473"/>
      <c r="D107" s="2473"/>
      <c r="E107" s="2473"/>
      <c r="F107" s="2473"/>
      <c r="G107" s="2473"/>
      <c r="H107" s="2473"/>
      <c r="I107" s="2473"/>
      <c r="J107" s="2473"/>
      <c r="K107" s="2473"/>
      <c r="L107" s="2473"/>
      <c r="M107" s="2473"/>
      <c r="N107" s="2473"/>
      <c r="O107" s="2473"/>
      <c r="P107" s="2473"/>
      <c r="Q107" s="2473"/>
      <c r="R107" s="2473"/>
      <c r="S107" s="2473"/>
      <c r="T107" s="2473"/>
      <c r="U107" s="2473"/>
      <c r="V107" s="2473"/>
      <c r="W107" s="2473"/>
      <c r="X107" s="2473"/>
      <c r="Y107" s="2473"/>
      <c r="Z107" s="2473"/>
      <c r="AA107" s="2473"/>
      <c r="AB107" s="2473"/>
      <c r="AC107" s="2473"/>
      <c r="AD107" s="2473"/>
      <c r="AE107" s="2473"/>
      <c r="AF107" s="2473"/>
      <c r="AG107" s="2473"/>
      <c r="AH107" s="247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0"/>
      <c r="C108" s="2211"/>
      <c r="D108" s="2211"/>
      <c r="E108" s="2211"/>
      <c r="F108" s="2211"/>
      <c r="G108" s="2211"/>
      <c r="H108" s="2211"/>
      <c r="I108" s="2211" t="s">
        <v>1829</v>
      </c>
      <c r="J108" s="2211"/>
      <c r="K108" s="2211"/>
      <c r="L108" s="2211"/>
      <c r="M108" s="2211"/>
      <c r="N108" s="2211"/>
      <c r="O108" s="2211" t="s">
        <v>1830</v>
      </c>
      <c r="P108" s="2211"/>
      <c r="Q108" s="2211"/>
      <c r="R108" s="2211"/>
      <c r="S108" s="2211"/>
      <c r="T108" s="2211"/>
      <c r="U108" s="2211"/>
      <c r="V108" s="2207" t="s">
        <v>2186</v>
      </c>
      <c r="W108" s="2207"/>
      <c r="X108" s="2207"/>
      <c r="Y108" s="2207"/>
      <c r="Z108" s="2207"/>
      <c r="AA108" s="2207"/>
      <c r="AB108" s="2208" t="s">
        <v>1831</v>
      </c>
      <c r="AC108" s="2208"/>
      <c r="AD108" s="2208"/>
      <c r="AE108" s="2208"/>
      <c r="AF108" s="2208"/>
      <c r="AG108" s="2208"/>
      <c r="AH108" s="220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0"/>
      <c r="C109" s="2211"/>
      <c r="D109" s="2211"/>
      <c r="E109" s="2211"/>
      <c r="F109" s="2211"/>
      <c r="G109" s="2211"/>
      <c r="H109" s="2211"/>
      <c r="I109" s="2211"/>
      <c r="J109" s="2211"/>
      <c r="K109" s="2211"/>
      <c r="L109" s="2211"/>
      <c r="M109" s="2211"/>
      <c r="N109" s="2211"/>
      <c r="O109" s="2211"/>
      <c r="P109" s="2211"/>
      <c r="Q109" s="2211"/>
      <c r="R109" s="2211"/>
      <c r="S109" s="2211"/>
      <c r="T109" s="2211"/>
      <c r="U109" s="2211"/>
      <c r="V109" s="2207"/>
      <c r="W109" s="2207"/>
      <c r="X109" s="2207"/>
      <c r="Y109" s="2207"/>
      <c r="Z109" s="2207"/>
      <c r="AA109" s="2207"/>
      <c r="AB109" s="2208"/>
      <c r="AC109" s="2208"/>
      <c r="AD109" s="2208"/>
      <c r="AE109" s="2208"/>
      <c r="AF109" s="2208"/>
      <c r="AG109" s="2208"/>
      <c r="AH109" s="220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0" t="s">
        <v>2172</v>
      </c>
      <c r="C110" s="2211"/>
      <c r="D110" s="2211"/>
      <c r="E110" s="2211"/>
      <c r="F110" s="2211"/>
      <c r="G110" s="2211"/>
      <c r="H110" s="2211"/>
      <c r="I110" s="2212">
        <v>5</v>
      </c>
      <c r="J110" s="2212"/>
      <c r="K110" s="2212"/>
      <c r="L110" s="2212"/>
      <c r="M110" s="2212"/>
      <c r="N110" s="2212"/>
      <c r="O110" s="2212">
        <v>5</v>
      </c>
      <c r="P110" s="2212"/>
      <c r="Q110" s="2212"/>
      <c r="R110" s="2212"/>
      <c r="S110" s="2212"/>
      <c r="T110" s="2212"/>
      <c r="U110" s="2212"/>
      <c r="V110" s="2212">
        <v>40</v>
      </c>
      <c r="W110" s="2212"/>
      <c r="X110" s="2212"/>
      <c r="Y110" s="2212"/>
      <c r="Z110" s="2212"/>
      <c r="AA110" s="2212"/>
      <c r="AB110" s="2212">
        <v>12</v>
      </c>
      <c r="AC110" s="2212"/>
      <c r="AD110" s="2212"/>
      <c r="AE110" s="2212"/>
      <c r="AF110" s="2212"/>
      <c r="AG110" s="2212"/>
      <c r="AH110" s="221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0" t="s">
        <v>2173</v>
      </c>
      <c r="C111" s="2211"/>
      <c r="D111" s="2211"/>
      <c r="E111" s="2211"/>
      <c r="F111" s="2211"/>
      <c r="G111" s="2211"/>
      <c r="H111" s="2211"/>
      <c r="I111" s="2212">
        <v>0</v>
      </c>
      <c r="J111" s="2212"/>
      <c r="K111" s="2212"/>
      <c r="L111" s="2212"/>
      <c r="M111" s="2212"/>
      <c r="N111" s="2212"/>
      <c r="O111" s="2212">
        <v>0</v>
      </c>
      <c r="P111" s="2212"/>
      <c r="Q111" s="2212"/>
      <c r="R111" s="2212"/>
      <c r="S111" s="2212"/>
      <c r="T111" s="2212"/>
      <c r="U111" s="2212"/>
      <c r="V111" s="2212">
        <v>0</v>
      </c>
      <c r="W111" s="2212"/>
      <c r="X111" s="2212"/>
      <c r="Y111" s="2212"/>
      <c r="Z111" s="2212"/>
      <c r="AA111" s="2212"/>
      <c r="AB111" s="2212">
        <v>0</v>
      </c>
      <c r="AC111" s="2212"/>
      <c r="AD111" s="2212"/>
      <c r="AE111" s="2212"/>
      <c r="AF111" s="2212"/>
      <c r="AG111" s="2212"/>
      <c r="AH111" s="221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0" t="s">
        <v>1832</v>
      </c>
      <c r="C112" s="2231"/>
      <c r="D112" s="2231"/>
      <c r="E112" s="2231"/>
      <c r="F112" s="2231"/>
      <c r="G112" s="2231"/>
      <c r="H112" s="2231"/>
      <c r="I112" s="2232" t="s">
        <v>2756</v>
      </c>
      <c r="J112" s="2232"/>
      <c r="K112" s="2232"/>
      <c r="L112" s="2232"/>
      <c r="M112" s="2232"/>
      <c r="N112" s="2232"/>
      <c r="O112" s="2232" t="s">
        <v>2757</v>
      </c>
      <c r="P112" s="2232"/>
      <c r="Q112" s="2232"/>
      <c r="R112" s="2232"/>
      <c r="S112" s="2232"/>
      <c r="T112" s="2232"/>
      <c r="U112" s="2232"/>
      <c r="V112" s="2232" t="s">
        <v>2758</v>
      </c>
      <c r="W112" s="2232"/>
      <c r="X112" s="2232"/>
      <c r="Y112" s="2232"/>
      <c r="Z112" s="2232"/>
      <c r="AA112" s="2232"/>
      <c r="AB112" s="2232" t="s">
        <v>2759</v>
      </c>
      <c r="AC112" s="2232"/>
      <c r="AD112" s="2232"/>
      <c r="AE112" s="2232"/>
      <c r="AF112" s="2232"/>
      <c r="AG112" s="2232"/>
      <c r="AH112" s="223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2606</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53"/>
      <c r="G115" s="2554"/>
      <c r="H115" s="2554"/>
      <c r="I115" s="2554"/>
      <c r="J115" s="2554"/>
      <c r="K115" s="2554"/>
      <c r="L115" s="2554"/>
      <c r="M115" s="2554"/>
      <c r="N115" s="2554"/>
      <c r="O115" s="2554"/>
      <c r="P115" s="2554"/>
      <c r="Q115" s="2554"/>
      <c r="R115" s="255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1" t="s">
        <v>2483</v>
      </c>
      <c r="C117" s="2252"/>
      <c r="D117" s="2252"/>
      <c r="E117" s="2252"/>
      <c r="F117" s="2252"/>
      <c r="G117" s="2252"/>
      <c r="H117" s="2252"/>
      <c r="I117" s="2252"/>
      <c r="J117" s="2252"/>
      <c r="K117" s="2252"/>
      <c r="L117" s="2252"/>
      <c r="M117" s="2252"/>
      <c r="N117" s="2252"/>
      <c r="O117" s="2252"/>
      <c r="P117" s="2252"/>
      <c r="Q117" s="2255" t="s">
        <v>554</v>
      </c>
      <c r="R117" s="2255"/>
      <c r="S117" s="2255"/>
      <c r="T117" s="225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3"/>
      <c r="C118" s="2254"/>
      <c r="D118" s="2254"/>
      <c r="E118" s="2254"/>
      <c r="F118" s="2254"/>
      <c r="G118" s="2254"/>
      <c r="H118" s="2254"/>
      <c r="I118" s="2254"/>
      <c r="J118" s="2254"/>
      <c r="K118" s="2254"/>
      <c r="L118" s="2254"/>
      <c r="M118" s="2254"/>
      <c r="N118" s="2254"/>
      <c r="O118" s="2254"/>
      <c r="P118" s="2254"/>
      <c r="Q118" s="2257"/>
      <c r="R118" s="2257"/>
      <c r="S118" s="2257"/>
      <c r="T118" s="225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3"/>
      <c r="C119" s="2254"/>
      <c r="D119" s="2254"/>
      <c r="E119" s="2254"/>
      <c r="F119" s="2254"/>
      <c r="G119" s="2254"/>
      <c r="H119" s="2254"/>
      <c r="I119" s="2254"/>
      <c r="J119" s="2254"/>
      <c r="K119" s="2254"/>
      <c r="L119" s="2254"/>
      <c r="M119" s="2254"/>
      <c r="N119" s="2254"/>
      <c r="O119" s="2254"/>
      <c r="P119" s="2254"/>
      <c r="Q119" s="2257"/>
      <c r="R119" s="2257"/>
      <c r="S119" s="2257"/>
      <c r="T119" s="225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3"/>
      <c r="C120" s="2254"/>
      <c r="D120" s="2254"/>
      <c r="E120" s="2254"/>
      <c r="F120" s="2254"/>
      <c r="G120" s="2254"/>
      <c r="H120" s="2254"/>
      <c r="I120" s="2254"/>
      <c r="J120" s="2254"/>
      <c r="K120" s="2254"/>
      <c r="L120" s="2254"/>
      <c r="M120" s="2254"/>
      <c r="N120" s="2254"/>
      <c r="O120" s="2254"/>
      <c r="P120" s="2254"/>
      <c r="Q120" s="2257"/>
      <c r="R120" s="2257"/>
      <c r="S120" s="2257"/>
      <c r="T120" s="225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4" t="s">
        <v>2187</v>
      </c>
      <c r="C121" s="2225"/>
      <c r="D121" s="2225"/>
      <c r="E121" s="2225"/>
      <c r="F121" s="2225"/>
      <c r="G121" s="2225"/>
      <c r="H121" s="2225"/>
      <c r="I121" s="2225"/>
      <c r="J121" s="2225"/>
      <c r="K121" s="2225"/>
      <c r="L121" s="2225"/>
      <c r="M121" s="2225"/>
      <c r="N121" s="2225"/>
      <c r="O121" s="2225"/>
      <c r="P121" s="2225"/>
      <c r="Q121" s="2225"/>
      <c r="R121" s="2225"/>
      <c r="S121" s="2225"/>
      <c r="T121" s="222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7"/>
      <c r="C122" s="2228"/>
      <c r="D122" s="2228"/>
      <c r="E122" s="2228"/>
      <c r="F122" s="2228"/>
      <c r="G122" s="2228"/>
      <c r="H122" s="2228"/>
      <c r="I122" s="2228"/>
      <c r="J122" s="2228"/>
      <c r="K122" s="2228"/>
      <c r="L122" s="2228"/>
      <c r="M122" s="2228"/>
      <c r="N122" s="2228"/>
      <c r="O122" s="2228"/>
      <c r="P122" s="2228"/>
      <c r="Q122" s="2228"/>
      <c r="R122" s="2228"/>
      <c r="S122" s="2228"/>
      <c r="T122" s="222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1" t="s">
        <v>2174</v>
      </c>
      <c r="Y125" s="2252"/>
      <c r="Z125" s="2252"/>
      <c r="AA125" s="2252"/>
      <c r="AB125" s="2252"/>
      <c r="AC125" s="2252"/>
      <c r="AD125" s="2252"/>
      <c r="AE125" s="2252"/>
      <c r="AF125" s="2252"/>
      <c r="AG125" s="2252"/>
      <c r="AH125" s="2252"/>
      <c r="AI125" s="2252"/>
      <c r="AJ125" s="2252"/>
      <c r="AK125" s="2252"/>
      <c r="AL125" s="2252"/>
      <c r="AM125" s="2252"/>
      <c r="AN125" s="2252"/>
      <c r="AO125" s="2252"/>
      <c r="AP125" s="2252"/>
      <c r="AQ125" s="2252"/>
      <c r="AR125" s="2252"/>
      <c r="AS125" s="2252"/>
      <c r="AT125" s="2252"/>
      <c r="AU125" s="2252"/>
      <c r="AV125" s="2252"/>
      <c r="AW125" s="2252"/>
      <c r="AX125" s="2252"/>
      <c r="AY125" s="2252"/>
      <c r="AZ125" s="2252"/>
      <c r="BA125" s="2252"/>
      <c r="BB125" s="2252"/>
      <c r="BC125" s="2252"/>
      <c r="BD125" s="2413"/>
      <c r="BE125" s="1205"/>
    </row>
    <row r="126" spans="1:57" ht="15.75" customHeight="1">
      <c r="A126" s="1209"/>
      <c r="B126" s="2415" t="s">
        <v>1689</v>
      </c>
      <c r="C126" s="2416"/>
      <c r="D126" s="2416"/>
      <c r="E126" s="2416"/>
      <c r="F126" s="2416"/>
      <c r="G126" s="2416"/>
      <c r="H126" s="2416"/>
      <c r="I126" s="2416"/>
      <c r="J126" s="2416"/>
      <c r="K126" s="2416"/>
      <c r="L126" s="2416"/>
      <c r="M126" s="2416"/>
      <c r="N126" s="2416"/>
      <c r="O126" s="2416"/>
      <c r="P126" s="2416"/>
      <c r="Q126" s="2416"/>
      <c r="R126" s="2416"/>
      <c r="S126" s="2416"/>
      <c r="T126" s="2416"/>
      <c r="U126" s="2417"/>
      <c r="V126" s="1209"/>
      <c r="W126" s="1209"/>
      <c r="X126" s="2253"/>
      <c r="Y126" s="2254"/>
      <c r="Z126" s="2254"/>
      <c r="AA126" s="2254"/>
      <c r="AB126" s="2254"/>
      <c r="AC126" s="2254"/>
      <c r="AD126" s="2254"/>
      <c r="AE126" s="2254"/>
      <c r="AF126" s="2254"/>
      <c r="AG126" s="2254"/>
      <c r="AH126" s="2254"/>
      <c r="AI126" s="2254"/>
      <c r="AJ126" s="2254"/>
      <c r="AK126" s="2254"/>
      <c r="AL126" s="2254"/>
      <c r="AM126" s="2254"/>
      <c r="AN126" s="2254"/>
      <c r="AO126" s="2254"/>
      <c r="AP126" s="2254"/>
      <c r="AQ126" s="2254"/>
      <c r="AR126" s="2254"/>
      <c r="AS126" s="2254"/>
      <c r="AT126" s="2254"/>
      <c r="AU126" s="2254"/>
      <c r="AV126" s="2254"/>
      <c r="AW126" s="2254"/>
      <c r="AX126" s="2254"/>
      <c r="AY126" s="2254"/>
      <c r="AZ126" s="2254"/>
      <c r="BA126" s="2254"/>
      <c r="BB126" s="2254"/>
      <c r="BC126" s="2254"/>
      <c r="BD126" s="2414"/>
      <c r="BE126" s="1205"/>
    </row>
    <row r="127" spans="1:57" ht="15.75" customHeight="1">
      <c r="A127" s="1209"/>
      <c r="B127" s="2418"/>
      <c r="C127" s="2419"/>
      <c r="D127" s="2419"/>
      <c r="E127" s="2419"/>
      <c r="F127" s="2419"/>
      <c r="G127" s="2419"/>
      <c r="H127" s="2419"/>
      <c r="I127" s="2211" t="s">
        <v>2175</v>
      </c>
      <c r="J127" s="2211"/>
      <c r="K127" s="2211"/>
      <c r="L127" s="2211"/>
      <c r="M127" s="2211"/>
      <c r="N127" s="2211"/>
      <c r="O127" s="2420" t="s">
        <v>2176</v>
      </c>
      <c r="P127" s="2420"/>
      <c r="Q127" s="2420"/>
      <c r="R127" s="2420"/>
      <c r="S127" s="2420"/>
      <c r="T127" s="2420"/>
      <c r="U127" s="2421"/>
      <c r="V127" s="1209"/>
      <c r="W127" s="1209"/>
      <c r="X127" s="2398" t="s">
        <v>2760</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24" t="s">
        <v>2177</v>
      </c>
      <c r="C128" s="2425"/>
      <c r="D128" s="2425"/>
      <c r="E128" s="2425"/>
      <c r="F128" s="2425"/>
      <c r="G128" s="2425"/>
      <c r="H128" s="2425"/>
      <c r="I128" s="2212">
        <v>394</v>
      </c>
      <c r="J128" s="2212"/>
      <c r="K128" s="2212"/>
      <c r="L128" s="2212"/>
      <c r="M128" s="2212"/>
      <c r="N128" s="2212"/>
      <c r="O128" s="2426" t="s">
        <v>2761</v>
      </c>
      <c r="P128" s="2212"/>
      <c r="Q128" s="2212"/>
      <c r="R128" s="2212"/>
      <c r="S128" s="2212"/>
      <c r="T128" s="2212"/>
      <c r="U128" s="2218"/>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27" t="s">
        <v>2178</v>
      </c>
      <c r="C129" s="2428"/>
      <c r="D129" s="2428"/>
      <c r="E129" s="2428"/>
      <c r="F129" s="2428"/>
      <c r="G129" s="2428"/>
      <c r="H129" s="2428"/>
      <c r="I129" s="2232">
        <v>481</v>
      </c>
      <c r="J129" s="2232"/>
      <c r="K129" s="2232"/>
      <c r="L129" s="2232"/>
      <c r="M129" s="2232"/>
      <c r="N129" s="2232"/>
      <c r="O129" s="2422"/>
      <c r="P129" s="2422"/>
      <c r="Q129" s="2422"/>
      <c r="R129" s="2422"/>
      <c r="S129" s="2422"/>
      <c r="T129" s="2422"/>
      <c r="U129" s="2423"/>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277" t="s">
        <v>1835</v>
      </c>
      <c r="C133" s="2278"/>
      <c r="D133" s="2278"/>
      <c r="E133" s="2278"/>
      <c r="F133" s="2278"/>
      <c r="G133" s="2278"/>
      <c r="H133" s="2278"/>
      <c r="I133" s="2278"/>
      <c r="J133" s="2278"/>
      <c r="K133" s="2278"/>
      <c r="L133" s="2278"/>
      <c r="M133" s="2278"/>
      <c r="N133" s="2278"/>
      <c r="O133" s="2278"/>
      <c r="P133" s="2278"/>
      <c r="Q133" s="2278"/>
      <c r="R133" s="2278"/>
      <c r="S133" s="2278"/>
      <c r="T133" s="2278"/>
      <c r="U133" s="2279"/>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418"/>
      <c r="C134" s="2419"/>
      <c r="D134" s="2419"/>
      <c r="E134" s="2419"/>
      <c r="F134" s="2419"/>
      <c r="G134" s="2419"/>
      <c r="H134" s="2419"/>
      <c r="I134" s="2444" t="s">
        <v>1830</v>
      </c>
      <c r="J134" s="2444"/>
      <c r="K134" s="2444"/>
      <c r="L134" s="2444"/>
      <c r="M134" s="2444"/>
      <c r="N134" s="2444"/>
      <c r="O134" s="2444"/>
      <c r="P134" s="2444" t="s">
        <v>2186</v>
      </c>
      <c r="Q134" s="2444"/>
      <c r="R134" s="2444"/>
      <c r="S134" s="2444"/>
      <c r="T134" s="2444"/>
      <c r="U134" s="2445"/>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418"/>
      <c r="C135" s="2419"/>
      <c r="D135" s="2419"/>
      <c r="E135" s="2419"/>
      <c r="F135" s="2419"/>
      <c r="G135" s="2419"/>
      <c r="H135" s="2419"/>
      <c r="I135" s="2444"/>
      <c r="J135" s="2444"/>
      <c r="K135" s="2444"/>
      <c r="L135" s="2444"/>
      <c r="M135" s="2444"/>
      <c r="N135" s="2444"/>
      <c r="O135" s="2444"/>
      <c r="P135" s="2444"/>
      <c r="Q135" s="2444"/>
      <c r="R135" s="2444"/>
      <c r="S135" s="2444"/>
      <c r="T135" s="2444"/>
      <c r="U135" s="2445"/>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24" t="s">
        <v>2177</v>
      </c>
      <c r="C136" s="2425"/>
      <c r="D136" s="2425"/>
      <c r="E136" s="2425"/>
      <c r="F136" s="2425"/>
      <c r="G136" s="2425"/>
      <c r="H136" s="2425"/>
      <c r="I136" s="2212">
        <v>3</v>
      </c>
      <c r="J136" s="2212"/>
      <c r="K136" s="2212"/>
      <c r="L136" s="2212"/>
      <c r="M136" s="2212"/>
      <c r="N136" s="2212"/>
      <c r="O136" s="2212"/>
      <c r="P136" s="2426" t="s">
        <v>2762</v>
      </c>
      <c r="Q136" s="2212"/>
      <c r="R136" s="2212"/>
      <c r="S136" s="2212"/>
      <c r="T136" s="2212"/>
      <c r="U136" s="2218"/>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27" t="s">
        <v>2178</v>
      </c>
      <c r="C137" s="2428"/>
      <c r="D137" s="2428"/>
      <c r="E137" s="2428"/>
      <c r="F137" s="2428"/>
      <c r="G137" s="2428"/>
      <c r="H137" s="2428"/>
      <c r="I137" s="2232">
        <v>4</v>
      </c>
      <c r="J137" s="2232"/>
      <c r="K137" s="2232"/>
      <c r="L137" s="2232"/>
      <c r="M137" s="2232"/>
      <c r="N137" s="2232"/>
      <c r="O137" s="2232"/>
      <c r="P137" s="2232">
        <v>10</v>
      </c>
      <c r="Q137" s="2232"/>
      <c r="R137" s="2232"/>
      <c r="S137" s="2232"/>
      <c r="T137" s="2232"/>
      <c r="U137" s="2233"/>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9" t="s">
        <v>1836</v>
      </c>
      <c r="C139" s="2430"/>
      <c r="D139" s="2430"/>
      <c r="E139" s="2430"/>
      <c r="F139" s="2430"/>
      <c r="G139" s="2430"/>
      <c r="H139" s="2430"/>
      <c r="I139" s="2430"/>
      <c r="J139" s="2430"/>
      <c r="K139" s="2430"/>
      <c r="L139" s="2430"/>
      <c r="M139" s="2430"/>
      <c r="N139" s="2430"/>
      <c r="O139" s="2430"/>
      <c r="P139" s="2430"/>
      <c r="Q139" s="2430"/>
      <c r="R139" s="2430"/>
      <c r="S139" s="2430"/>
      <c r="T139" s="2430"/>
      <c r="U139" s="2430"/>
      <c r="V139" s="2430"/>
      <c r="W139" s="2430"/>
      <c r="X139" s="2430"/>
      <c r="Y139" s="2430"/>
      <c r="Z139" s="2430"/>
      <c r="AA139" s="2430"/>
      <c r="AB139" s="2430"/>
      <c r="AC139" s="2430"/>
      <c r="AD139" s="2430"/>
      <c r="AE139" s="2430"/>
      <c r="AF139" s="2430"/>
      <c r="AG139" s="2430"/>
      <c r="AH139" s="2431" t="s">
        <v>554</v>
      </c>
      <c r="AI139" s="2431"/>
      <c r="AJ139" s="2431"/>
      <c r="AK139" s="2431"/>
      <c r="AL139" s="2431"/>
      <c r="AM139" s="2431"/>
      <c r="AN139" s="2431"/>
      <c r="AO139" s="2431"/>
      <c r="AP139" s="2431"/>
      <c r="AQ139" s="2431"/>
      <c r="AR139" s="2431"/>
      <c r="AS139" s="2431"/>
      <c r="AT139" s="2431"/>
      <c r="AU139" s="2431"/>
      <c r="AV139" s="2431"/>
      <c r="AW139" s="2431"/>
      <c r="AX139" s="2432"/>
      <c r="AY139" s="1209"/>
      <c r="AZ139" s="1209"/>
      <c r="BA139" s="1209"/>
      <c r="BB139" s="1209"/>
      <c r="BC139" s="1209"/>
      <c r="BD139" s="1209"/>
      <c r="BE139" s="1205"/>
    </row>
    <row r="140" spans="1:57" ht="15.75" customHeight="1">
      <c r="A140" s="1209"/>
      <c r="B140" s="2433" t="s">
        <v>1837</v>
      </c>
      <c r="C140" s="2434"/>
      <c r="D140" s="2434"/>
      <c r="E140" s="2434"/>
      <c r="F140" s="2434"/>
      <c r="G140" s="2434"/>
      <c r="H140" s="2434"/>
      <c r="I140" s="2434"/>
      <c r="J140" s="2434"/>
      <c r="K140" s="2434"/>
      <c r="L140" s="2434"/>
      <c r="M140" s="2434"/>
      <c r="N140" s="2434"/>
      <c r="O140" s="2434"/>
      <c r="P140" s="2434"/>
      <c r="Q140" s="2434"/>
      <c r="R140" s="2435" t="s">
        <v>2763</v>
      </c>
      <c r="S140" s="2435"/>
      <c r="T140" s="2435"/>
      <c r="U140" s="2435"/>
      <c r="V140" s="2435"/>
      <c r="W140" s="2435"/>
      <c r="X140" s="2435"/>
      <c r="Y140" s="2435"/>
      <c r="Z140" s="2435"/>
      <c r="AA140" s="2435"/>
      <c r="AB140" s="2435"/>
      <c r="AC140" s="2435"/>
      <c r="AD140" s="2435"/>
      <c r="AE140" s="2435"/>
      <c r="AF140" s="2435"/>
      <c r="AG140" s="2435"/>
      <c r="AH140" s="2435"/>
      <c r="AI140" s="2435"/>
      <c r="AJ140" s="2435"/>
      <c r="AK140" s="2435"/>
      <c r="AL140" s="2435"/>
      <c r="AM140" s="2435"/>
      <c r="AN140" s="2435"/>
      <c r="AO140" s="2435"/>
      <c r="AP140" s="2435"/>
      <c r="AQ140" s="2435"/>
      <c r="AR140" s="2435"/>
      <c r="AS140" s="2435"/>
      <c r="AT140" s="2435"/>
      <c r="AU140" s="2435"/>
      <c r="AV140" s="2435"/>
      <c r="AW140" s="2435"/>
      <c r="AX140" s="2436"/>
      <c r="AY140" s="1209"/>
      <c r="AZ140" s="1209"/>
      <c r="BA140" s="1209"/>
      <c r="BB140" s="1209"/>
      <c r="BC140" s="1209" t="s">
        <v>251</v>
      </c>
      <c r="BD140" s="1209"/>
      <c r="BE140" s="1205"/>
    </row>
    <row r="141" spans="1:57" ht="15.75" customHeight="1">
      <c r="A141" s="1209"/>
      <c r="B141" s="2437" t="s">
        <v>2764</v>
      </c>
      <c r="C141" s="2438"/>
      <c r="D141" s="2438"/>
      <c r="E141" s="2438"/>
      <c r="F141" s="2438"/>
      <c r="G141" s="2438"/>
      <c r="H141" s="2438"/>
      <c r="I141" s="2438"/>
      <c r="J141" s="2438"/>
      <c r="K141" s="2438"/>
      <c r="L141" s="2438"/>
      <c r="M141" s="2438"/>
      <c r="N141" s="2438"/>
      <c r="O141" s="2438"/>
      <c r="P141" s="2438"/>
      <c r="Q141" s="2438"/>
      <c r="R141" s="2438"/>
      <c r="S141" s="2438"/>
      <c r="T141" s="2438"/>
      <c r="U141" s="2438"/>
      <c r="V141" s="2438"/>
      <c r="W141" s="2438"/>
      <c r="X141" s="2438"/>
      <c r="Y141" s="2438"/>
      <c r="Z141" s="2438"/>
      <c r="AA141" s="2438"/>
      <c r="AB141" s="2438"/>
      <c r="AC141" s="2438"/>
      <c r="AD141" s="2438"/>
      <c r="AE141" s="2438"/>
      <c r="AF141" s="2438"/>
      <c r="AG141" s="2438"/>
      <c r="AH141" s="2438"/>
      <c r="AI141" s="2438"/>
      <c r="AJ141" s="2438"/>
      <c r="AK141" s="2438"/>
      <c r="AL141" s="2438"/>
      <c r="AM141" s="2438"/>
      <c r="AN141" s="2438"/>
      <c r="AO141" s="2438"/>
      <c r="AP141" s="2438"/>
      <c r="AQ141" s="2438"/>
      <c r="AR141" s="2438"/>
      <c r="AS141" s="2438"/>
      <c r="AT141" s="2438"/>
      <c r="AU141" s="2438"/>
      <c r="AV141" s="2438"/>
      <c r="AW141" s="2438"/>
      <c r="AX141" s="2439"/>
      <c r="AY141" s="1209"/>
      <c r="AZ141" s="1209"/>
      <c r="BA141" s="1209"/>
      <c r="BB141" s="1209"/>
      <c r="BC141" s="1209"/>
      <c r="BD141" s="1209"/>
      <c r="BE141" s="1205"/>
    </row>
    <row r="142" spans="1:57" ht="15.75" customHeight="1">
      <c r="A142" s="1209"/>
      <c r="B142" s="2440"/>
      <c r="C142" s="2438"/>
      <c r="D142" s="2438"/>
      <c r="E142" s="2438"/>
      <c r="F142" s="2438"/>
      <c r="G142" s="2438"/>
      <c r="H142" s="2438"/>
      <c r="I142" s="2438"/>
      <c r="J142" s="2438"/>
      <c r="K142" s="2438"/>
      <c r="L142" s="2438"/>
      <c r="M142" s="2438"/>
      <c r="N142" s="2438"/>
      <c r="O142" s="2438"/>
      <c r="P142" s="2438"/>
      <c r="Q142" s="2438"/>
      <c r="R142" s="2438"/>
      <c r="S142" s="2438"/>
      <c r="T142" s="2438"/>
      <c r="U142" s="2438"/>
      <c r="V142" s="2438"/>
      <c r="W142" s="2438"/>
      <c r="X142" s="2438"/>
      <c r="Y142" s="2438"/>
      <c r="Z142" s="2438"/>
      <c r="AA142" s="2438"/>
      <c r="AB142" s="2438"/>
      <c r="AC142" s="2438"/>
      <c r="AD142" s="2438"/>
      <c r="AE142" s="2438"/>
      <c r="AF142" s="2438"/>
      <c r="AG142" s="2438"/>
      <c r="AH142" s="2438"/>
      <c r="AI142" s="2438"/>
      <c r="AJ142" s="2438"/>
      <c r="AK142" s="2438"/>
      <c r="AL142" s="2438"/>
      <c r="AM142" s="2438"/>
      <c r="AN142" s="2438"/>
      <c r="AO142" s="2438"/>
      <c r="AP142" s="2438"/>
      <c r="AQ142" s="2438"/>
      <c r="AR142" s="2438"/>
      <c r="AS142" s="2438"/>
      <c r="AT142" s="2438"/>
      <c r="AU142" s="2438"/>
      <c r="AV142" s="2438"/>
      <c r="AW142" s="2438"/>
      <c r="AX142" s="2439"/>
      <c r="AY142" s="1209"/>
      <c r="AZ142" s="1209"/>
      <c r="BA142" s="1209"/>
      <c r="BB142" s="1209"/>
      <c r="BC142" s="1209"/>
      <c r="BD142" s="1209"/>
      <c r="BE142" s="1205"/>
    </row>
    <row r="143" spans="1:57" ht="15.75" customHeight="1">
      <c r="A143" s="1209"/>
      <c r="B143" s="2440"/>
      <c r="C143" s="2438"/>
      <c r="D143" s="2438"/>
      <c r="E143" s="2438"/>
      <c r="F143" s="2438"/>
      <c r="G143" s="2438"/>
      <c r="H143" s="2438"/>
      <c r="I143" s="2438"/>
      <c r="J143" s="2438"/>
      <c r="K143" s="2438"/>
      <c r="L143" s="2438"/>
      <c r="M143" s="2438"/>
      <c r="N143" s="2438"/>
      <c r="O143" s="2438"/>
      <c r="P143" s="2438"/>
      <c r="Q143" s="2438"/>
      <c r="R143" s="2438"/>
      <c r="S143" s="2438"/>
      <c r="T143" s="2438"/>
      <c r="U143" s="2438"/>
      <c r="V143" s="2438"/>
      <c r="W143" s="2438"/>
      <c r="X143" s="2438"/>
      <c r="Y143" s="2438"/>
      <c r="Z143" s="2438"/>
      <c r="AA143" s="2438"/>
      <c r="AB143" s="2438"/>
      <c r="AC143" s="2438"/>
      <c r="AD143" s="2438"/>
      <c r="AE143" s="2438"/>
      <c r="AF143" s="2438"/>
      <c r="AG143" s="2438"/>
      <c r="AH143" s="2438"/>
      <c r="AI143" s="2438"/>
      <c r="AJ143" s="2438"/>
      <c r="AK143" s="2438"/>
      <c r="AL143" s="2438"/>
      <c r="AM143" s="2438"/>
      <c r="AN143" s="2438"/>
      <c r="AO143" s="2438"/>
      <c r="AP143" s="2438"/>
      <c r="AQ143" s="2438"/>
      <c r="AR143" s="2438"/>
      <c r="AS143" s="2438"/>
      <c r="AT143" s="2438"/>
      <c r="AU143" s="2438"/>
      <c r="AV143" s="2438"/>
      <c r="AW143" s="2438"/>
      <c r="AX143" s="2439"/>
      <c r="AY143" s="1209"/>
      <c r="AZ143" s="1209"/>
      <c r="BA143" s="1209"/>
      <c r="BB143" s="1209"/>
      <c r="BC143" s="1209"/>
      <c r="BD143" s="1209"/>
      <c r="BE143" s="1205"/>
    </row>
    <row r="144" spans="1:57" ht="15.75" customHeight="1">
      <c r="A144" s="1209"/>
      <c r="B144" s="2440"/>
      <c r="C144" s="2438"/>
      <c r="D144" s="2438"/>
      <c r="E144" s="2438"/>
      <c r="F144" s="2438"/>
      <c r="G144" s="2438"/>
      <c r="H144" s="2438"/>
      <c r="I144" s="2438"/>
      <c r="J144" s="2438"/>
      <c r="K144" s="2438"/>
      <c r="L144" s="2438"/>
      <c r="M144" s="2438"/>
      <c r="N144" s="2438"/>
      <c r="O144" s="2438"/>
      <c r="P144" s="2438"/>
      <c r="Q144" s="2438"/>
      <c r="R144" s="2438"/>
      <c r="S144" s="2438"/>
      <c r="T144" s="2438"/>
      <c r="U144" s="2438"/>
      <c r="V144" s="2438"/>
      <c r="W144" s="2438"/>
      <c r="X144" s="2438"/>
      <c r="Y144" s="2438"/>
      <c r="Z144" s="2438"/>
      <c r="AA144" s="2438"/>
      <c r="AB144" s="2438"/>
      <c r="AC144" s="2438"/>
      <c r="AD144" s="2438"/>
      <c r="AE144" s="2438"/>
      <c r="AF144" s="2438"/>
      <c r="AG144" s="2438"/>
      <c r="AH144" s="2438"/>
      <c r="AI144" s="2438"/>
      <c r="AJ144" s="2438"/>
      <c r="AK144" s="2438"/>
      <c r="AL144" s="2438"/>
      <c r="AM144" s="2438"/>
      <c r="AN144" s="2438"/>
      <c r="AO144" s="2438"/>
      <c r="AP144" s="2438"/>
      <c r="AQ144" s="2438"/>
      <c r="AR144" s="2438"/>
      <c r="AS144" s="2438"/>
      <c r="AT144" s="2438"/>
      <c r="AU144" s="2438"/>
      <c r="AV144" s="2438"/>
      <c r="AW144" s="2438"/>
      <c r="AX144" s="2439"/>
      <c r="AY144" s="1209"/>
      <c r="AZ144" s="1209"/>
      <c r="BA144" s="1209"/>
      <c r="BB144" s="1209"/>
      <c r="BC144" s="1209"/>
      <c r="BD144" s="1209"/>
      <c r="BE144" s="1205"/>
    </row>
    <row r="145" spans="1:57" ht="15.75" customHeight="1">
      <c r="A145" s="1209"/>
      <c r="B145" s="2440"/>
      <c r="C145" s="2438"/>
      <c r="D145" s="2438"/>
      <c r="E145" s="2438"/>
      <c r="F145" s="2438"/>
      <c r="G145" s="2438"/>
      <c r="H145" s="2438"/>
      <c r="I145" s="2438"/>
      <c r="J145" s="2438"/>
      <c r="K145" s="2438"/>
      <c r="L145" s="2438"/>
      <c r="M145" s="2438"/>
      <c r="N145" s="2438"/>
      <c r="O145" s="2438"/>
      <c r="P145" s="2438"/>
      <c r="Q145" s="2438"/>
      <c r="R145" s="2438"/>
      <c r="S145" s="2438"/>
      <c r="T145" s="2438"/>
      <c r="U145" s="2438"/>
      <c r="V145" s="2438"/>
      <c r="W145" s="2438"/>
      <c r="X145" s="2438"/>
      <c r="Y145" s="2438"/>
      <c r="Z145" s="2438"/>
      <c r="AA145" s="2438"/>
      <c r="AB145" s="2438"/>
      <c r="AC145" s="2438"/>
      <c r="AD145" s="2438"/>
      <c r="AE145" s="2438"/>
      <c r="AF145" s="2438"/>
      <c r="AG145" s="2438"/>
      <c r="AH145" s="2438"/>
      <c r="AI145" s="2438"/>
      <c r="AJ145" s="2438"/>
      <c r="AK145" s="2438"/>
      <c r="AL145" s="2438"/>
      <c r="AM145" s="2438"/>
      <c r="AN145" s="2438"/>
      <c r="AO145" s="2438"/>
      <c r="AP145" s="2438"/>
      <c r="AQ145" s="2438"/>
      <c r="AR145" s="2438"/>
      <c r="AS145" s="2438"/>
      <c r="AT145" s="2438"/>
      <c r="AU145" s="2438"/>
      <c r="AV145" s="2438"/>
      <c r="AW145" s="2438"/>
      <c r="AX145" s="2439"/>
      <c r="AY145" s="1209"/>
      <c r="AZ145" s="1209"/>
      <c r="BA145" s="1209"/>
      <c r="BB145" s="1209"/>
      <c r="BC145" s="1209"/>
      <c r="BD145" s="1209"/>
      <c r="BE145" s="1205"/>
    </row>
    <row r="146" spans="1:57" ht="15.75" customHeight="1">
      <c r="A146" s="1209"/>
      <c r="B146" s="2440"/>
      <c r="C146" s="2438"/>
      <c r="D146" s="2438"/>
      <c r="E146" s="2438"/>
      <c r="F146" s="2438"/>
      <c r="G146" s="2438"/>
      <c r="H146" s="2438"/>
      <c r="I146" s="2438"/>
      <c r="J146" s="2438"/>
      <c r="K146" s="2438"/>
      <c r="L146" s="2438"/>
      <c r="M146" s="2438"/>
      <c r="N146" s="2438"/>
      <c r="O146" s="2438"/>
      <c r="P146" s="2438"/>
      <c r="Q146" s="2438"/>
      <c r="R146" s="2438"/>
      <c r="S146" s="2438"/>
      <c r="T146" s="2438"/>
      <c r="U146" s="2438"/>
      <c r="V146" s="2438"/>
      <c r="W146" s="2438"/>
      <c r="X146" s="2438"/>
      <c r="Y146" s="2438"/>
      <c r="Z146" s="2438"/>
      <c r="AA146" s="2438"/>
      <c r="AB146" s="2438"/>
      <c r="AC146" s="2438"/>
      <c r="AD146" s="2438"/>
      <c r="AE146" s="2438"/>
      <c r="AF146" s="2438"/>
      <c r="AG146" s="2438"/>
      <c r="AH146" s="2438"/>
      <c r="AI146" s="2438"/>
      <c r="AJ146" s="2438"/>
      <c r="AK146" s="2438"/>
      <c r="AL146" s="2438"/>
      <c r="AM146" s="2438"/>
      <c r="AN146" s="2438"/>
      <c r="AO146" s="2438"/>
      <c r="AP146" s="2438"/>
      <c r="AQ146" s="2438"/>
      <c r="AR146" s="2438"/>
      <c r="AS146" s="2438"/>
      <c r="AT146" s="2438"/>
      <c r="AU146" s="2438"/>
      <c r="AV146" s="2438"/>
      <c r="AW146" s="2438"/>
      <c r="AX146" s="2439"/>
      <c r="AY146" s="1209"/>
      <c r="AZ146" s="1209"/>
      <c r="BA146" s="1209"/>
      <c r="BB146" s="1209"/>
      <c r="BC146" s="1209"/>
      <c r="BD146" s="1209"/>
      <c r="BE146" s="1205"/>
    </row>
    <row r="147" spans="1:57" ht="15.75" customHeight="1">
      <c r="A147" s="1209"/>
      <c r="B147" s="2440"/>
      <c r="C147" s="2438"/>
      <c r="D147" s="2438"/>
      <c r="E147" s="2438"/>
      <c r="F147" s="2438"/>
      <c r="G147" s="2438"/>
      <c r="H147" s="2438"/>
      <c r="I147" s="2438"/>
      <c r="J147" s="2438"/>
      <c r="K147" s="2438"/>
      <c r="L147" s="2438"/>
      <c r="M147" s="2438"/>
      <c r="N147" s="2438"/>
      <c r="O147" s="2438"/>
      <c r="P147" s="2438"/>
      <c r="Q147" s="2438"/>
      <c r="R147" s="2438"/>
      <c r="S147" s="2438"/>
      <c r="T147" s="2438"/>
      <c r="U147" s="2438"/>
      <c r="V147" s="2438"/>
      <c r="W147" s="2438"/>
      <c r="X147" s="2438"/>
      <c r="Y147" s="2438"/>
      <c r="Z147" s="2438"/>
      <c r="AA147" s="2438"/>
      <c r="AB147" s="2438"/>
      <c r="AC147" s="2438"/>
      <c r="AD147" s="2438"/>
      <c r="AE147" s="2438"/>
      <c r="AF147" s="2438"/>
      <c r="AG147" s="2438"/>
      <c r="AH147" s="2438"/>
      <c r="AI147" s="2438"/>
      <c r="AJ147" s="2438"/>
      <c r="AK147" s="2438"/>
      <c r="AL147" s="2438"/>
      <c r="AM147" s="2438"/>
      <c r="AN147" s="2438"/>
      <c r="AO147" s="2438"/>
      <c r="AP147" s="2438"/>
      <c r="AQ147" s="2438"/>
      <c r="AR147" s="2438"/>
      <c r="AS147" s="2438"/>
      <c r="AT147" s="2438"/>
      <c r="AU147" s="2438"/>
      <c r="AV147" s="2438"/>
      <c r="AW147" s="2438"/>
      <c r="AX147" s="2439"/>
      <c r="AY147" s="1209"/>
      <c r="AZ147" s="1209"/>
      <c r="BA147" s="1209"/>
      <c r="BB147" s="1209"/>
      <c r="BC147" s="1209"/>
      <c r="BD147" s="1209"/>
      <c r="BE147" s="1205"/>
    </row>
    <row r="148" spans="1:57" ht="15.75" customHeight="1">
      <c r="A148" s="1209"/>
      <c r="B148" s="2440"/>
      <c r="C148" s="2438"/>
      <c r="D148" s="2438"/>
      <c r="E148" s="2438"/>
      <c r="F148" s="2438"/>
      <c r="G148" s="2438"/>
      <c r="H148" s="2438"/>
      <c r="I148" s="2438"/>
      <c r="J148" s="2438"/>
      <c r="K148" s="2438"/>
      <c r="L148" s="2438"/>
      <c r="M148" s="2438"/>
      <c r="N148" s="2438"/>
      <c r="O148" s="2438"/>
      <c r="P148" s="2438"/>
      <c r="Q148" s="2438"/>
      <c r="R148" s="2438"/>
      <c r="S148" s="2438"/>
      <c r="T148" s="2438"/>
      <c r="U148" s="2438"/>
      <c r="V148" s="2438"/>
      <c r="W148" s="2438"/>
      <c r="X148" s="2438"/>
      <c r="Y148" s="2438"/>
      <c r="Z148" s="2438"/>
      <c r="AA148" s="2438"/>
      <c r="AB148" s="2438"/>
      <c r="AC148" s="2438"/>
      <c r="AD148" s="2438"/>
      <c r="AE148" s="2438"/>
      <c r="AF148" s="2438"/>
      <c r="AG148" s="2438"/>
      <c r="AH148" s="2438"/>
      <c r="AI148" s="2438"/>
      <c r="AJ148" s="2438"/>
      <c r="AK148" s="2438"/>
      <c r="AL148" s="2438"/>
      <c r="AM148" s="2438"/>
      <c r="AN148" s="2438"/>
      <c r="AO148" s="2438"/>
      <c r="AP148" s="2438"/>
      <c r="AQ148" s="2438"/>
      <c r="AR148" s="2438"/>
      <c r="AS148" s="2438"/>
      <c r="AT148" s="2438"/>
      <c r="AU148" s="2438"/>
      <c r="AV148" s="2438"/>
      <c r="AW148" s="2438"/>
      <c r="AX148" s="2439"/>
      <c r="AY148" s="1209"/>
      <c r="AZ148" s="1209"/>
      <c r="BA148" s="1209"/>
      <c r="BB148" s="1209"/>
      <c r="BC148" s="1209"/>
      <c r="BD148" s="1209"/>
      <c r="BE148" s="1205"/>
    </row>
    <row r="149" spans="1:57" ht="15.75" customHeight="1">
      <c r="A149" s="1209"/>
      <c r="B149" s="2440"/>
      <c r="C149" s="2438"/>
      <c r="D149" s="2438"/>
      <c r="E149" s="2438"/>
      <c r="F149" s="2438"/>
      <c r="G149" s="2438"/>
      <c r="H149" s="2438"/>
      <c r="I149" s="2438"/>
      <c r="J149" s="2438"/>
      <c r="K149" s="2438"/>
      <c r="L149" s="2438"/>
      <c r="M149" s="2438"/>
      <c r="N149" s="2438"/>
      <c r="O149" s="2438"/>
      <c r="P149" s="2438"/>
      <c r="Q149" s="2438"/>
      <c r="R149" s="2438"/>
      <c r="S149" s="2438"/>
      <c r="T149" s="2438"/>
      <c r="U149" s="2438"/>
      <c r="V149" s="2438"/>
      <c r="W149" s="2438"/>
      <c r="X149" s="2438"/>
      <c r="Y149" s="2438"/>
      <c r="Z149" s="2438"/>
      <c r="AA149" s="2438"/>
      <c r="AB149" s="2438"/>
      <c r="AC149" s="2438"/>
      <c r="AD149" s="2438"/>
      <c r="AE149" s="2438"/>
      <c r="AF149" s="2438"/>
      <c r="AG149" s="2438"/>
      <c r="AH149" s="2438"/>
      <c r="AI149" s="2438"/>
      <c r="AJ149" s="2438"/>
      <c r="AK149" s="2438"/>
      <c r="AL149" s="2438"/>
      <c r="AM149" s="2438"/>
      <c r="AN149" s="2438"/>
      <c r="AO149" s="2438"/>
      <c r="AP149" s="2438"/>
      <c r="AQ149" s="2438"/>
      <c r="AR149" s="2438"/>
      <c r="AS149" s="2438"/>
      <c r="AT149" s="2438"/>
      <c r="AU149" s="2438"/>
      <c r="AV149" s="2438"/>
      <c r="AW149" s="2438"/>
      <c r="AX149" s="2439"/>
      <c r="AY149" s="1209"/>
      <c r="AZ149" s="1209"/>
      <c r="BA149" s="1209"/>
      <c r="BB149" s="1209"/>
      <c r="BC149" s="1209"/>
      <c r="BD149" s="1209"/>
      <c r="BE149" s="1205"/>
    </row>
    <row r="150" spans="1:57" ht="15.75" customHeight="1" thickBot="1">
      <c r="A150" s="1209"/>
      <c r="B150" s="2441"/>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2442"/>
      <c r="AE150" s="2442"/>
      <c r="AF150" s="2442"/>
      <c r="AG150" s="2442"/>
      <c r="AH150" s="2442"/>
      <c r="AI150" s="2442"/>
      <c r="AJ150" s="2442"/>
      <c r="AK150" s="2442"/>
      <c r="AL150" s="2442"/>
      <c r="AM150" s="2442"/>
      <c r="AN150" s="2442"/>
      <c r="AO150" s="2442"/>
      <c r="AP150" s="2442"/>
      <c r="AQ150" s="2442"/>
      <c r="AR150" s="2442"/>
      <c r="AS150" s="2442"/>
      <c r="AT150" s="2442"/>
      <c r="AU150" s="2442"/>
      <c r="AV150" s="2442"/>
      <c r="AW150" s="2442"/>
      <c r="AX150" s="244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2188</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5" t="s">
        <v>1839</v>
      </c>
      <c r="C154" s="2366"/>
      <c r="D154" s="2366"/>
      <c r="E154" s="2366"/>
      <c r="F154" s="2366"/>
      <c r="G154" s="2366"/>
      <c r="H154" s="2366"/>
      <c r="I154" s="2366"/>
      <c r="J154" s="2366"/>
      <c r="K154" s="2366"/>
      <c r="L154" s="2366"/>
      <c r="M154" s="2366"/>
      <c r="N154" s="2366"/>
      <c r="O154" s="2366"/>
      <c r="P154" s="2366"/>
      <c r="Q154" s="2366"/>
      <c r="R154" s="2366"/>
      <c r="S154" s="2366"/>
      <c r="T154" s="2366"/>
      <c r="U154" s="2367"/>
      <c r="V154" s="1209"/>
      <c r="W154" s="1217"/>
      <c r="X154" s="2365" t="s">
        <v>2189</v>
      </c>
      <c r="Y154" s="2366"/>
      <c r="Z154" s="2366"/>
      <c r="AA154" s="2366"/>
      <c r="AB154" s="2366"/>
      <c r="AC154" s="2366"/>
      <c r="AD154" s="2366"/>
      <c r="AE154" s="2366"/>
      <c r="AF154" s="2366"/>
      <c r="AG154" s="2366"/>
      <c r="AH154" s="2366"/>
      <c r="AI154" s="2366"/>
      <c r="AJ154" s="2366"/>
      <c r="AK154" s="2366"/>
      <c r="AL154" s="2366"/>
      <c r="AM154" s="2366"/>
      <c r="AN154" s="2366"/>
      <c r="AO154" s="2366"/>
      <c r="AP154" s="2366"/>
      <c r="AQ154" s="2367"/>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8"/>
      <c r="C155" s="2419"/>
      <c r="D155" s="2419"/>
      <c r="E155" s="2419"/>
      <c r="F155" s="2419"/>
      <c r="G155" s="2419"/>
      <c r="H155" s="2419"/>
      <c r="I155" s="2444" t="s">
        <v>1830</v>
      </c>
      <c r="J155" s="2444"/>
      <c r="K155" s="2444"/>
      <c r="L155" s="2444"/>
      <c r="M155" s="2444"/>
      <c r="N155" s="2444"/>
      <c r="O155" s="2444"/>
      <c r="P155" s="2444" t="s">
        <v>2190</v>
      </c>
      <c r="Q155" s="2444"/>
      <c r="R155" s="2444"/>
      <c r="S155" s="2444"/>
      <c r="T155" s="2444"/>
      <c r="U155" s="2445"/>
      <c r="V155" s="1209"/>
      <c r="W155" s="1209"/>
      <c r="X155" s="2418"/>
      <c r="Y155" s="2419"/>
      <c r="Z155" s="2419"/>
      <c r="AA155" s="2419"/>
      <c r="AB155" s="2419"/>
      <c r="AC155" s="2419"/>
      <c r="AD155" s="2419"/>
      <c r="AE155" s="2444" t="s">
        <v>1830</v>
      </c>
      <c r="AF155" s="2444"/>
      <c r="AG155" s="2444"/>
      <c r="AH155" s="2444"/>
      <c r="AI155" s="2444"/>
      <c r="AJ155" s="2444"/>
      <c r="AK155" s="2444"/>
      <c r="AL155" s="2444" t="s">
        <v>2186</v>
      </c>
      <c r="AM155" s="2444"/>
      <c r="AN155" s="2444"/>
      <c r="AO155" s="2444"/>
      <c r="AP155" s="2444"/>
      <c r="AQ155" s="2445"/>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8"/>
      <c r="C156" s="2419"/>
      <c r="D156" s="2419"/>
      <c r="E156" s="2419"/>
      <c r="F156" s="2419"/>
      <c r="G156" s="2419"/>
      <c r="H156" s="2419"/>
      <c r="I156" s="2444"/>
      <c r="J156" s="2444"/>
      <c r="K156" s="2444"/>
      <c r="L156" s="2444"/>
      <c r="M156" s="2444"/>
      <c r="N156" s="2444"/>
      <c r="O156" s="2444"/>
      <c r="P156" s="2444"/>
      <c r="Q156" s="2444"/>
      <c r="R156" s="2444"/>
      <c r="S156" s="2444"/>
      <c r="T156" s="2444"/>
      <c r="U156" s="2445"/>
      <c r="V156" s="1209"/>
      <c r="W156" s="1209"/>
      <c r="X156" s="2418"/>
      <c r="Y156" s="2419"/>
      <c r="Z156" s="2419"/>
      <c r="AA156" s="2419"/>
      <c r="AB156" s="2419"/>
      <c r="AC156" s="2419"/>
      <c r="AD156" s="2419"/>
      <c r="AE156" s="2444"/>
      <c r="AF156" s="2444"/>
      <c r="AG156" s="2444"/>
      <c r="AH156" s="2444"/>
      <c r="AI156" s="2444"/>
      <c r="AJ156" s="2444"/>
      <c r="AK156" s="2444"/>
      <c r="AL156" s="2444"/>
      <c r="AM156" s="2444"/>
      <c r="AN156" s="2444"/>
      <c r="AO156" s="2444"/>
      <c r="AP156" s="2444"/>
      <c r="AQ156" s="244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4" t="s">
        <v>2177</v>
      </c>
      <c r="C157" s="2425"/>
      <c r="D157" s="2425"/>
      <c r="E157" s="2425"/>
      <c r="F157" s="2425"/>
      <c r="G157" s="2425"/>
      <c r="H157" s="2425"/>
      <c r="I157" s="2212">
        <v>15</v>
      </c>
      <c r="J157" s="2212"/>
      <c r="K157" s="2212"/>
      <c r="L157" s="2212"/>
      <c r="M157" s="2212"/>
      <c r="N157" s="2212"/>
      <c r="O157" s="2212"/>
      <c r="P157" s="2212">
        <v>13</v>
      </c>
      <c r="Q157" s="2212"/>
      <c r="R157" s="2212"/>
      <c r="S157" s="2212"/>
      <c r="T157" s="2212"/>
      <c r="U157" s="2218"/>
      <c r="V157" s="1209"/>
      <c r="W157" s="1209"/>
      <c r="X157" s="2427" t="s">
        <v>2177</v>
      </c>
      <c r="Y157" s="2428"/>
      <c r="Z157" s="2428"/>
      <c r="AA157" s="2428"/>
      <c r="AB157" s="2428"/>
      <c r="AC157" s="2428"/>
      <c r="AD157" s="2428"/>
      <c r="AE157" s="2232">
        <v>2</v>
      </c>
      <c r="AF157" s="2232"/>
      <c r="AG157" s="2232"/>
      <c r="AH157" s="2232"/>
      <c r="AI157" s="2232"/>
      <c r="AJ157" s="2232"/>
      <c r="AK157" s="2232"/>
      <c r="AL157" s="2232">
        <v>8</v>
      </c>
      <c r="AM157" s="2232"/>
      <c r="AN157" s="2232"/>
      <c r="AO157" s="2232"/>
      <c r="AP157" s="2232"/>
      <c r="AQ157" s="223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7" t="s">
        <v>2178</v>
      </c>
      <c r="C158" s="2428"/>
      <c r="D158" s="2428"/>
      <c r="E158" s="2428"/>
      <c r="F158" s="2428"/>
      <c r="G158" s="2428"/>
      <c r="H158" s="2428"/>
      <c r="I158" s="2232">
        <v>36</v>
      </c>
      <c r="J158" s="2232"/>
      <c r="K158" s="2232"/>
      <c r="L158" s="2232"/>
      <c r="M158" s="2232"/>
      <c r="N158" s="2232"/>
      <c r="O158" s="2232"/>
      <c r="P158" s="2232">
        <v>75</v>
      </c>
      <c r="Q158" s="2232"/>
      <c r="R158" s="2232"/>
      <c r="S158" s="2232"/>
      <c r="T158" s="2232"/>
      <c r="U158" s="223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5" t="s">
        <v>2179</v>
      </c>
      <c r="D160" s="2366"/>
      <c r="E160" s="2366"/>
      <c r="F160" s="2366"/>
      <c r="G160" s="2366"/>
      <c r="H160" s="2366"/>
      <c r="I160" s="2366"/>
      <c r="J160" s="2366"/>
      <c r="K160" s="2366"/>
      <c r="L160" s="2366"/>
      <c r="M160" s="2366"/>
      <c r="N160" s="2366"/>
      <c r="O160" s="2366"/>
      <c r="P160" s="2366"/>
      <c r="Q160" s="2366"/>
      <c r="R160" s="2366"/>
      <c r="S160" s="2366"/>
      <c r="T160" s="2366"/>
      <c r="U160" s="2366"/>
      <c r="V160" s="2366"/>
      <c r="W160" s="2366"/>
      <c r="X160" s="2366"/>
      <c r="Y160" s="2366"/>
      <c r="Z160" s="2366"/>
      <c r="AA160" s="2366"/>
      <c r="AB160" s="2366"/>
      <c r="AC160" s="2366"/>
      <c r="AD160" s="2366"/>
      <c r="AE160" s="2366"/>
      <c r="AF160" s="2366"/>
      <c r="AG160" s="236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8" t="s">
        <v>1840</v>
      </c>
      <c r="D161" s="2419"/>
      <c r="E161" s="2419"/>
      <c r="F161" s="2419"/>
      <c r="G161" s="2419"/>
      <c r="H161" s="2419"/>
      <c r="I161" s="2419"/>
      <c r="J161" s="2419"/>
      <c r="K161" s="2419"/>
      <c r="L161" s="2419"/>
      <c r="M161" s="2419"/>
      <c r="N161" s="2419"/>
      <c r="O161" s="2419"/>
      <c r="P161" s="2419"/>
      <c r="Q161" s="2419" t="s">
        <v>1841</v>
      </c>
      <c r="R161" s="2419"/>
      <c r="S161" s="2419"/>
      <c r="T161" s="2208" t="s">
        <v>2180</v>
      </c>
      <c r="U161" s="2208"/>
      <c r="V161" s="2208"/>
      <c r="W161" s="2208"/>
      <c r="X161" s="2208"/>
      <c r="Y161" s="2208"/>
      <c r="Z161" s="2208"/>
      <c r="AA161" s="2208"/>
      <c r="AB161" s="2419" t="s">
        <v>1842</v>
      </c>
      <c r="AC161" s="2419"/>
      <c r="AD161" s="2419"/>
      <c r="AE161" s="2419"/>
      <c r="AF161" s="2419"/>
      <c r="AG161" s="244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7" t="s">
        <v>1843</v>
      </c>
      <c r="D162" s="2448"/>
      <c r="E162" s="2448"/>
      <c r="F162" s="2448"/>
      <c r="G162" s="2448"/>
      <c r="H162" s="2448"/>
      <c r="I162" s="2448"/>
      <c r="J162" s="2448"/>
      <c r="K162" s="2448"/>
      <c r="L162" s="2448"/>
      <c r="M162" s="2448"/>
      <c r="N162" s="2448"/>
      <c r="O162" s="2448"/>
      <c r="P162" s="2448"/>
      <c r="Q162" s="2449">
        <v>55</v>
      </c>
      <c r="R162" s="2449"/>
      <c r="S162" s="2449"/>
      <c r="T162" s="2450"/>
      <c r="U162" s="2450"/>
      <c r="V162" s="2450"/>
      <c r="W162" s="2450"/>
      <c r="X162" s="2450"/>
      <c r="Y162" s="2450"/>
      <c r="Z162" s="2450"/>
      <c r="AA162" s="245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7" t="s">
        <v>1844</v>
      </c>
      <c r="D163" s="2448"/>
      <c r="E163" s="2448"/>
      <c r="F163" s="2448"/>
      <c r="G163" s="2448"/>
      <c r="H163" s="2448"/>
      <c r="I163" s="2448"/>
      <c r="J163" s="2448"/>
      <c r="K163" s="2448"/>
      <c r="L163" s="2448"/>
      <c r="M163" s="2448"/>
      <c r="N163" s="2448"/>
      <c r="O163" s="2448"/>
      <c r="P163" s="2448"/>
      <c r="Q163" s="2449">
        <v>55</v>
      </c>
      <c r="R163" s="2449"/>
      <c r="S163" s="2449"/>
      <c r="T163" s="2453">
        <v>45383</v>
      </c>
      <c r="U163" s="2453"/>
      <c r="V163" s="2453"/>
      <c r="W163" s="2453"/>
      <c r="X163" s="2453"/>
      <c r="Y163" s="2453"/>
      <c r="Z163" s="2453"/>
      <c r="AA163" s="245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7" t="s">
        <v>1845</v>
      </c>
      <c r="D164" s="2448"/>
      <c r="E164" s="2448"/>
      <c r="F164" s="2448"/>
      <c r="G164" s="2448"/>
      <c r="H164" s="2448"/>
      <c r="I164" s="2448"/>
      <c r="J164" s="2448"/>
      <c r="K164" s="2448"/>
      <c r="L164" s="2448"/>
      <c r="M164" s="2448"/>
      <c r="N164" s="2448"/>
      <c r="O164" s="2448"/>
      <c r="P164" s="2448"/>
      <c r="Q164" s="2449">
        <v>55</v>
      </c>
      <c r="R164" s="2449"/>
      <c r="S164" s="2449"/>
      <c r="T164" s="2450"/>
      <c r="U164" s="2450"/>
      <c r="V164" s="2450"/>
      <c r="W164" s="2450"/>
      <c r="X164" s="2450"/>
      <c r="Y164" s="2450"/>
      <c r="Z164" s="2450"/>
      <c r="AA164" s="245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7" t="s">
        <v>1816</v>
      </c>
      <c r="D165" s="2448"/>
      <c r="E165" s="2448"/>
      <c r="F165" s="2448"/>
      <c r="G165" s="2448"/>
      <c r="H165" s="2448"/>
      <c r="I165" s="2448"/>
      <c r="J165" s="2448"/>
      <c r="K165" s="2448"/>
      <c r="L165" s="2448"/>
      <c r="M165" s="2448"/>
      <c r="N165" s="2448"/>
      <c r="O165" s="2448"/>
      <c r="P165" s="2448"/>
      <c r="Q165" s="2449">
        <v>55</v>
      </c>
      <c r="R165" s="2449"/>
      <c r="S165" s="2449"/>
      <c r="T165" s="2450"/>
      <c r="U165" s="2450"/>
      <c r="V165" s="2450"/>
      <c r="W165" s="2450"/>
      <c r="X165" s="2450"/>
      <c r="Y165" s="2450"/>
      <c r="Z165" s="2450"/>
      <c r="AA165" s="2450"/>
      <c r="AB165" s="2451">
        <v>0</v>
      </c>
      <c r="AC165" s="2451"/>
      <c r="AD165" s="2451"/>
      <c r="AE165" s="2451"/>
      <c r="AF165" s="2451"/>
      <c r="AG165" s="245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7" t="s">
        <v>170</v>
      </c>
      <c r="D166" s="2448"/>
      <c r="E166" s="2448"/>
      <c r="F166" s="2454" t="s">
        <v>1846</v>
      </c>
      <c r="G166" s="2454"/>
      <c r="H166" s="2454"/>
      <c r="I166" s="2454"/>
      <c r="J166" s="2454"/>
      <c r="K166" s="2454"/>
      <c r="L166" s="2454"/>
      <c r="M166" s="2454"/>
      <c r="N166" s="2454"/>
      <c r="O166" s="2454"/>
      <c r="P166" s="2454"/>
      <c r="Q166" s="2449">
        <v>55</v>
      </c>
      <c r="R166" s="2449"/>
      <c r="S166" s="2449"/>
      <c r="T166" s="2453"/>
      <c r="U166" s="2453"/>
      <c r="V166" s="2453"/>
      <c r="W166" s="2453"/>
      <c r="X166" s="2453"/>
      <c r="Y166" s="2453"/>
      <c r="Z166" s="2453"/>
      <c r="AA166" s="2453"/>
      <c r="AB166" s="2451">
        <v>0</v>
      </c>
      <c r="AC166" s="2451"/>
      <c r="AD166" s="2451"/>
      <c r="AE166" s="2451"/>
      <c r="AF166" s="2451"/>
      <c r="AG166" s="245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7" t="s">
        <v>170</v>
      </c>
      <c r="D167" s="2448"/>
      <c r="E167" s="2448"/>
      <c r="F167" s="2454" t="s">
        <v>1846</v>
      </c>
      <c r="G167" s="2454"/>
      <c r="H167" s="2454"/>
      <c r="I167" s="2454"/>
      <c r="J167" s="2454"/>
      <c r="K167" s="2454"/>
      <c r="L167" s="2454"/>
      <c r="M167" s="2454"/>
      <c r="N167" s="2454"/>
      <c r="O167" s="2454"/>
      <c r="P167" s="2454"/>
      <c r="Q167" s="2449">
        <v>55</v>
      </c>
      <c r="R167" s="2449"/>
      <c r="S167" s="2449"/>
      <c r="T167" s="2453"/>
      <c r="U167" s="2453"/>
      <c r="V167" s="2453"/>
      <c r="W167" s="2453"/>
      <c r="X167" s="2453"/>
      <c r="Y167" s="2453"/>
      <c r="Z167" s="2453"/>
      <c r="AA167" s="2453"/>
      <c r="AB167" s="2451">
        <v>0</v>
      </c>
      <c r="AC167" s="2451"/>
      <c r="AD167" s="2451"/>
      <c r="AE167" s="2451"/>
      <c r="AF167" s="2451"/>
      <c r="AG167" s="245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5" t="s">
        <v>170</v>
      </c>
      <c r="D168" s="2456"/>
      <c r="E168" s="2456"/>
      <c r="F168" s="2457" t="s">
        <v>1846</v>
      </c>
      <c r="G168" s="2457"/>
      <c r="H168" s="2457"/>
      <c r="I168" s="2457"/>
      <c r="J168" s="2457"/>
      <c r="K168" s="2457"/>
      <c r="L168" s="2457"/>
      <c r="M168" s="2457"/>
      <c r="N168" s="2457"/>
      <c r="O168" s="2457"/>
      <c r="P168" s="2457"/>
      <c r="Q168" s="2458">
        <v>55</v>
      </c>
      <c r="R168" s="2458"/>
      <c r="S168" s="2458"/>
      <c r="T168" s="2459"/>
      <c r="U168" s="2459"/>
      <c r="V168" s="2459"/>
      <c r="W168" s="2459"/>
      <c r="X168" s="2459"/>
      <c r="Y168" s="2459"/>
      <c r="Z168" s="2459"/>
      <c r="AA168" s="2459"/>
      <c r="AB168" s="2460">
        <v>0</v>
      </c>
      <c r="AC168" s="2460"/>
      <c r="AD168" s="2460"/>
      <c r="AE168" s="2460"/>
      <c r="AF168" s="2460"/>
      <c r="AG168" s="246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2" t="s">
        <v>1847</v>
      </c>
      <c r="D170" s="2473"/>
      <c r="E170" s="2473"/>
      <c r="F170" s="2473"/>
      <c r="G170" s="2473"/>
      <c r="H170" s="2473"/>
      <c r="I170" s="2473"/>
      <c r="J170" s="2473"/>
      <c r="K170" s="2473"/>
      <c r="L170" s="2473"/>
      <c r="M170" s="2473"/>
      <c r="N170" s="2474"/>
      <c r="O170" s="1209"/>
      <c r="P170" s="2429" t="s">
        <v>1848</v>
      </c>
      <c r="Q170" s="2430"/>
      <c r="R170" s="2430"/>
      <c r="S170" s="2430"/>
      <c r="T170" s="2430"/>
      <c r="U170" s="2430"/>
      <c r="V170" s="2430"/>
      <c r="W170" s="2430"/>
      <c r="X170" s="2430"/>
      <c r="Y170" s="2430"/>
      <c r="Z170" s="2430"/>
      <c r="AA170" s="2430"/>
      <c r="AB170" s="2430"/>
      <c r="AC170" s="2430"/>
      <c r="AD170" s="2430"/>
      <c r="AE170" s="2430"/>
      <c r="AF170" s="2430"/>
      <c r="AG170" s="2430"/>
      <c r="AH170" s="2430"/>
      <c r="AI170" s="2430"/>
      <c r="AJ170" s="2430"/>
      <c r="AK170" s="2430"/>
      <c r="AL170" s="2430"/>
      <c r="AM170" s="2430"/>
      <c r="AN170" s="2430"/>
      <c r="AO170" s="247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8" t="s">
        <v>1849</v>
      </c>
      <c r="D171" s="2419"/>
      <c r="E171" s="2419"/>
      <c r="F171" s="2419"/>
      <c r="G171" s="2419"/>
      <c r="H171" s="2419"/>
      <c r="I171" s="2419" t="s">
        <v>1850</v>
      </c>
      <c r="J171" s="2419"/>
      <c r="K171" s="2419"/>
      <c r="L171" s="2419"/>
      <c r="M171" s="2419"/>
      <c r="N171" s="2446"/>
      <c r="O171" s="1209"/>
      <c r="P171" s="2476" t="s">
        <v>2771</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4" t="s">
        <v>2765</v>
      </c>
      <c r="D172" s="2374"/>
      <c r="E172" s="2374"/>
      <c r="F172" s="2374"/>
      <c r="G172" s="2374"/>
      <c r="H172" s="2374"/>
      <c r="I172" s="2450">
        <v>45216</v>
      </c>
      <c r="J172" s="2450"/>
      <c r="K172" s="2450"/>
      <c r="L172" s="2450"/>
      <c r="M172" s="2450"/>
      <c r="N172" s="2477"/>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4" t="s">
        <v>2766</v>
      </c>
      <c r="D173" s="2374"/>
      <c r="E173" s="2374"/>
      <c r="F173" s="2374"/>
      <c r="G173" s="2374"/>
      <c r="H173" s="2374"/>
      <c r="I173" s="2450" t="s">
        <v>2770</v>
      </c>
      <c r="J173" s="2450"/>
      <c r="K173" s="2450"/>
      <c r="L173" s="2450"/>
      <c r="M173" s="2450"/>
      <c r="N173" s="2477"/>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4" t="s">
        <v>2767</v>
      </c>
      <c r="D174" s="2374"/>
      <c r="E174" s="2374"/>
      <c r="F174" s="2374"/>
      <c r="G174" s="2374"/>
      <c r="H174" s="2374"/>
      <c r="I174" s="2450">
        <v>45219</v>
      </c>
      <c r="J174" s="2450"/>
      <c r="K174" s="2450"/>
      <c r="L174" s="2450"/>
      <c r="M174" s="2450"/>
      <c r="N174" s="2477"/>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4" t="s">
        <v>2768</v>
      </c>
      <c r="D175" s="2374"/>
      <c r="E175" s="2374"/>
      <c r="F175" s="2374"/>
      <c r="G175" s="2374"/>
      <c r="H175" s="2374"/>
      <c r="I175" s="2450">
        <v>45246</v>
      </c>
      <c r="J175" s="2450"/>
      <c r="K175" s="2450"/>
      <c r="L175" s="2450"/>
      <c r="M175" s="2450"/>
      <c r="N175" s="2477"/>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4" t="s">
        <v>2769</v>
      </c>
      <c r="D176" s="2374"/>
      <c r="E176" s="2374"/>
      <c r="F176" s="2374"/>
      <c r="G176" s="2374"/>
      <c r="H176" s="2374"/>
      <c r="I176" s="2450">
        <v>45275</v>
      </c>
      <c r="J176" s="2450"/>
      <c r="K176" s="2450"/>
      <c r="L176" s="2450"/>
      <c r="M176" s="2450"/>
      <c r="N176" s="2477"/>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4"/>
      <c r="D177" s="2374"/>
      <c r="E177" s="2374"/>
      <c r="F177" s="2374"/>
      <c r="G177" s="2374"/>
      <c r="H177" s="2374"/>
      <c r="I177" s="2450"/>
      <c r="J177" s="2450"/>
      <c r="K177" s="2450"/>
      <c r="L177" s="2450"/>
      <c r="M177" s="2450"/>
      <c r="N177" s="2477"/>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2"/>
      <c r="D178" s="2463"/>
      <c r="E178" s="2463"/>
      <c r="F178" s="2463"/>
      <c r="G178" s="2463"/>
      <c r="H178" s="2463"/>
      <c r="I178" s="2464"/>
      <c r="J178" s="2464"/>
      <c r="K178" s="2464"/>
      <c r="L178" s="2464"/>
      <c r="M178" s="2464"/>
      <c r="N178" s="2465"/>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6" t="s">
        <v>2484</v>
      </c>
      <c r="D180" s="2467"/>
      <c r="E180" s="2467"/>
      <c r="F180" s="2467"/>
      <c r="G180" s="2467"/>
      <c r="H180" s="2467"/>
      <c r="I180" s="2467"/>
      <c r="J180" s="2467"/>
      <c r="K180" s="2467"/>
      <c r="L180" s="2467"/>
      <c r="M180" s="2467"/>
      <c r="N180" s="2467"/>
      <c r="O180" s="2467"/>
      <c r="P180" s="2467"/>
      <c r="Q180" s="2467"/>
      <c r="R180" s="2467"/>
      <c r="S180" s="2467"/>
      <c r="T180" s="2467"/>
      <c r="U180" s="2467"/>
      <c r="V180" s="2467"/>
      <c r="W180" s="2467"/>
      <c r="X180" s="2467"/>
      <c r="Y180" s="2467"/>
      <c r="Z180" s="2467"/>
      <c r="AA180" s="2467"/>
      <c r="AB180" s="2467"/>
      <c r="AC180" s="2467"/>
      <c r="AD180" s="2467"/>
      <c r="AE180" s="2468"/>
      <c r="AF180" s="1209"/>
      <c r="AG180" s="1209"/>
      <c r="AH180" s="2219" t="s">
        <v>2600</v>
      </c>
      <c r="AI180" s="2220"/>
      <c r="AJ180" s="2220"/>
      <c r="AK180" s="2220"/>
      <c r="AL180" s="2220"/>
      <c r="AM180" s="2220"/>
      <c r="AN180" s="2220"/>
      <c r="AO180" s="2220"/>
      <c r="AP180" s="2220"/>
      <c r="AQ180" s="2220"/>
      <c r="AR180" s="2220"/>
      <c r="AS180" s="2220"/>
      <c r="AT180" s="2220"/>
      <c r="AU180" s="2220"/>
      <c r="AV180" s="2220"/>
      <c r="AW180" s="2220"/>
      <c r="AX180" s="2220"/>
      <c r="AY180" s="2220"/>
      <c r="AZ180" s="2220"/>
      <c r="BA180" s="2220"/>
      <c r="BB180" s="2220"/>
      <c r="BC180" s="2220"/>
      <c r="BD180" s="2220"/>
      <c r="BE180" s="2221"/>
    </row>
    <row r="181" spans="1:57" ht="15.75" customHeight="1" thickBot="1">
      <c r="A181" s="1209"/>
      <c r="B181" s="1209"/>
      <c r="C181" s="2469"/>
      <c r="D181" s="2470"/>
      <c r="E181" s="2470"/>
      <c r="F181" s="2470"/>
      <c r="G181" s="2470"/>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1"/>
      <c r="AF181" s="1209"/>
      <c r="AG181" s="1209"/>
      <c r="AH181" s="2222" t="s">
        <v>2621</v>
      </c>
      <c r="AI181" s="2222"/>
      <c r="AJ181" s="2222"/>
      <c r="AK181" s="2222"/>
      <c r="AL181" s="2222"/>
      <c r="AM181" s="2222"/>
      <c r="AN181" s="2222"/>
      <c r="AO181" s="2222"/>
      <c r="AP181" s="2222"/>
      <c r="AQ181" s="2222"/>
      <c r="AR181" s="2222"/>
      <c r="AS181" s="2222"/>
      <c r="AT181" s="2222"/>
      <c r="AU181" s="2222"/>
      <c r="AV181" s="2222"/>
      <c r="AW181" s="2222"/>
      <c r="AX181" s="2222"/>
      <c r="AY181" s="2222"/>
      <c r="AZ181" s="2222"/>
      <c r="BA181" s="2222"/>
      <c r="BB181" s="2222"/>
      <c r="BC181" s="2222"/>
      <c r="BD181" s="2222"/>
      <c r="BE181" s="2222"/>
    </row>
    <row r="182" spans="1:57" ht="15.75" customHeight="1">
      <c r="A182" s="1209"/>
      <c r="B182" s="1209"/>
      <c r="C182" s="2472" t="s">
        <v>1840</v>
      </c>
      <c r="D182" s="2473"/>
      <c r="E182" s="2473"/>
      <c r="F182" s="2473"/>
      <c r="G182" s="2473"/>
      <c r="H182" s="2473"/>
      <c r="I182" s="2473"/>
      <c r="J182" s="2473"/>
      <c r="K182" s="2473"/>
      <c r="L182" s="2473"/>
      <c r="M182" s="2473"/>
      <c r="N182" s="2473" t="s">
        <v>1851</v>
      </c>
      <c r="O182" s="2473"/>
      <c r="P182" s="2473"/>
      <c r="Q182" s="2473"/>
      <c r="R182" s="2473"/>
      <c r="S182" s="2473"/>
      <c r="T182" s="2473"/>
      <c r="U182" s="2366" t="s">
        <v>1840</v>
      </c>
      <c r="V182" s="2366"/>
      <c r="W182" s="2366"/>
      <c r="X182" s="2366"/>
      <c r="Y182" s="2366"/>
      <c r="Z182" s="2366"/>
      <c r="AA182" s="2366"/>
      <c r="AB182" s="2366"/>
      <c r="AC182" s="2366"/>
      <c r="AD182" s="2366"/>
      <c r="AE182" s="2367"/>
      <c r="AF182" s="1209"/>
      <c r="AG182" s="1209"/>
      <c r="AH182" s="2223" t="s">
        <v>2605</v>
      </c>
      <c r="AI182" s="2223"/>
      <c r="AJ182" s="2223"/>
      <c r="AK182" s="2223"/>
      <c r="AL182" s="2223"/>
      <c r="AM182" s="2223"/>
      <c r="AN182" s="2223"/>
      <c r="AO182" s="2223"/>
      <c r="AP182" s="2223"/>
      <c r="AQ182" s="2223"/>
      <c r="AR182" s="2223"/>
      <c r="AS182" s="2223"/>
      <c r="AT182" s="2223"/>
      <c r="AU182" s="2189">
        <v>2500000</v>
      </c>
      <c r="AV182" s="2189"/>
      <c r="AW182" s="2189"/>
      <c r="AX182" s="2189"/>
      <c r="AY182" s="2189"/>
      <c r="AZ182" s="2189"/>
      <c r="BA182" s="2189"/>
      <c r="BB182" s="2189"/>
      <c r="BC182" s="2197"/>
      <c r="BD182" s="2198"/>
      <c r="BE182" s="2199"/>
    </row>
    <row r="183" spans="1:57" ht="15.75" customHeight="1">
      <c r="A183" s="1209"/>
      <c r="B183" s="1209"/>
      <c r="C183" s="2213" t="s">
        <v>2485</v>
      </c>
      <c r="D183" s="2214"/>
      <c r="E183" s="2214"/>
      <c r="F183" s="2214"/>
      <c r="G183" s="2214"/>
      <c r="H183" s="2214"/>
      <c r="I183" s="2214"/>
      <c r="J183" s="2214"/>
      <c r="K183" s="2214"/>
      <c r="L183" s="2214"/>
      <c r="M183" s="2214"/>
      <c r="N183" s="2479">
        <f>'Sources and Uses Budget'!B105</f>
        <v>102656506.58000001</v>
      </c>
      <c r="O183" s="2479"/>
      <c r="P183" s="2479"/>
      <c r="Q183" s="2479"/>
      <c r="R183" s="2479"/>
      <c r="S183" s="2479"/>
      <c r="T183" s="2479"/>
      <c r="U183" s="2480"/>
      <c r="V183" s="2480"/>
      <c r="W183" s="2480"/>
      <c r="X183" s="2480"/>
      <c r="Y183" s="2480"/>
      <c r="Z183" s="2480"/>
      <c r="AA183" s="2480"/>
      <c r="AB183" s="2480"/>
      <c r="AC183" s="2480"/>
      <c r="AD183" s="2480"/>
      <c r="AE183" s="2481"/>
      <c r="AF183" s="1209"/>
      <c r="AG183" s="1209"/>
      <c r="AH183" s="2223" t="s">
        <v>2604</v>
      </c>
      <c r="AI183" s="2223"/>
      <c r="AJ183" s="2223"/>
      <c r="AK183" s="2223"/>
      <c r="AL183" s="2223"/>
      <c r="AM183" s="2223"/>
      <c r="AN183" s="2223"/>
      <c r="AO183" s="2223"/>
      <c r="AP183" s="2223"/>
      <c r="AQ183" s="2223"/>
      <c r="AR183" s="2223"/>
      <c r="AS183" s="2223"/>
      <c r="AT183" s="2223"/>
      <c r="AU183" s="2190">
        <f>MAX(0,Application!AG439-100)*20000</f>
        <v>1400000</v>
      </c>
      <c r="AV183" s="2190"/>
      <c r="AW183" s="2190"/>
      <c r="AX183" s="2190"/>
      <c r="AY183" s="2190"/>
      <c r="AZ183" s="2190"/>
      <c r="BA183" s="2190"/>
      <c r="BB183" s="2190"/>
      <c r="BC183" s="2194"/>
      <c r="BD183" s="2195"/>
      <c r="BE183" s="2196"/>
    </row>
    <row r="184" spans="1:57" ht="15.75" customHeight="1">
      <c r="A184" s="1209"/>
      <c r="B184" s="1209"/>
      <c r="C184" s="2213" t="s">
        <v>2486</v>
      </c>
      <c r="D184" s="2214"/>
      <c r="E184" s="2214"/>
      <c r="F184" s="2214"/>
      <c r="G184" s="2214"/>
      <c r="H184" s="2214"/>
      <c r="I184" s="2214"/>
      <c r="J184" s="2214"/>
      <c r="K184" s="2214"/>
      <c r="L184" s="2214"/>
      <c r="M184" s="2214"/>
      <c r="N184" s="2479">
        <f>N183/J29</f>
        <v>603861.80341176479</v>
      </c>
      <c r="O184" s="2479"/>
      <c r="P184" s="2479"/>
      <c r="Q184" s="2479"/>
      <c r="R184" s="2479"/>
      <c r="S184" s="2479"/>
      <c r="T184" s="2479"/>
      <c r="U184" s="1225"/>
      <c r="V184" s="1225"/>
      <c r="W184" s="1225"/>
      <c r="X184" s="1225"/>
      <c r="Y184" s="1225"/>
      <c r="Z184" s="1225"/>
      <c r="AA184" s="1225"/>
      <c r="AB184" s="1225"/>
      <c r="AC184" s="1225"/>
      <c r="AD184" s="1225"/>
      <c r="AE184" s="1224"/>
      <c r="AF184" s="1209"/>
      <c r="AG184" s="1209"/>
      <c r="AH184" s="2200" t="s">
        <v>2603</v>
      </c>
      <c r="AI184" s="2200"/>
      <c r="AJ184" s="2200"/>
      <c r="AK184" s="2200"/>
      <c r="AL184" s="2200"/>
      <c r="AM184" s="2200"/>
      <c r="AN184" s="2200"/>
      <c r="AO184" s="2200"/>
      <c r="AP184" s="2200"/>
      <c r="AQ184" s="2200"/>
      <c r="AR184" s="2200"/>
      <c r="AS184" s="2200"/>
      <c r="AT184" s="2200"/>
      <c r="AU184" s="2191">
        <f>AU182+AU183</f>
        <v>3900000</v>
      </c>
      <c r="AV184" s="2191"/>
      <c r="AW184" s="2191"/>
      <c r="AX184" s="2191"/>
      <c r="AY184" s="2191"/>
      <c r="AZ184" s="2191"/>
      <c r="BA184" s="2191"/>
      <c r="BB184" s="2191"/>
      <c r="BC184" s="2194"/>
      <c r="BD184" s="2195"/>
      <c r="BE184" s="2196"/>
    </row>
    <row r="185" spans="1:57" ht="15.75" customHeight="1">
      <c r="A185" s="1209"/>
      <c r="B185" s="1209"/>
      <c r="C185" s="2482" t="s">
        <v>2487</v>
      </c>
      <c r="D185" s="2483"/>
      <c r="E185" s="2483"/>
      <c r="F185" s="2483"/>
      <c r="G185" s="2483"/>
      <c r="H185" s="2483"/>
      <c r="I185" s="2483"/>
      <c r="J185" s="2483"/>
      <c r="K185" s="2483"/>
      <c r="L185" s="2483"/>
      <c r="M185" s="2483"/>
      <c r="N185" s="2405">
        <v>0</v>
      </c>
      <c r="O185" s="2405"/>
      <c r="P185" s="2405"/>
      <c r="Q185" s="2405"/>
      <c r="R185" s="2405"/>
      <c r="S185" s="2405"/>
      <c r="T185" s="2405"/>
      <c r="U185" s="2383"/>
      <c r="V185" s="2383"/>
      <c r="W185" s="2383"/>
      <c r="X185" s="2383"/>
      <c r="Y185" s="2383"/>
      <c r="Z185" s="2383"/>
      <c r="AA185" s="2383"/>
      <c r="AB185" s="2383"/>
      <c r="AC185" s="2383"/>
      <c r="AD185" s="2383"/>
      <c r="AE185" s="2384"/>
      <c r="AF185" s="1209"/>
      <c r="AG185" s="1209"/>
      <c r="AH185" s="2193" t="s">
        <v>2602</v>
      </c>
      <c r="AI185" s="2193"/>
      <c r="AJ185" s="2193"/>
      <c r="AK185" s="2193"/>
      <c r="AL185" s="2193"/>
      <c r="AM185" s="2193"/>
      <c r="AN185" s="2193"/>
      <c r="AO185" s="2193"/>
      <c r="AP185" s="2193"/>
      <c r="AQ185" s="2193"/>
      <c r="AR185" s="2193"/>
      <c r="AS185" s="2193"/>
      <c r="AT185" s="2193"/>
      <c r="AU185" s="2192" t="str">
        <f>IF(AU189-AU192&lt;=AU184,"Y","N")</f>
        <v>N</v>
      </c>
      <c r="AV185" s="2192"/>
      <c r="AW185" s="2192"/>
      <c r="AX185" s="2192"/>
      <c r="AY185" s="2192"/>
      <c r="AZ185" s="2192"/>
      <c r="BA185" s="2192"/>
      <c r="BB185" s="2192"/>
      <c r="BC185" s="2194"/>
      <c r="BD185" s="2195"/>
      <c r="BE185" s="2196"/>
    </row>
    <row r="186" spans="1:57" ht="15.75" customHeight="1" thickBot="1">
      <c r="A186" s="1209"/>
      <c r="B186" s="1209"/>
      <c r="C186" s="2213" t="s">
        <v>2488</v>
      </c>
      <c r="D186" s="2214"/>
      <c r="E186" s="2214"/>
      <c r="F186" s="2214"/>
      <c r="G186" s="2214"/>
      <c r="H186" s="2214"/>
      <c r="I186" s="2214"/>
      <c r="J186" s="2214"/>
      <c r="K186" s="2214"/>
      <c r="L186" s="2214"/>
      <c r="M186" s="2214"/>
      <c r="N186" s="2478">
        <f>SUM('Sources and Uses Budget'!B85:B86)</f>
        <v>4778361.5</v>
      </c>
      <c r="O186" s="2478"/>
      <c r="P186" s="2478"/>
      <c r="Q186" s="2478"/>
      <c r="R186" s="2478"/>
      <c r="S186" s="2478"/>
      <c r="T186" s="2478"/>
      <c r="U186" s="2383"/>
      <c r="V186" s="2383"/>
      <c r="W186" s="2383"/>
      <c r="X186" s="2383"/>
      <c r="Y186" s="2383"/>
      <c r="Z186" s="2383"/>
      <c r="AA186" s="2383"/>
      <c r="AB186" s="2383"/>
      <c r="AC186" s="2383"/>
      <c r="AD186" s="2383"/>
      <c r="AE186" s="238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3" t="s">
        <v>2489</v>
      </c>
      <c r="D187" s="2214"/>
      <c r="E187" s="2214"/>
      <c r="F187" s="2214"/>
      <c r="G187" s="2214"/>
      <c r="H187" s="2214"/>
      <c r="I187" s="2214"/>
      <c r="J187" s="2214"/>
      <c r="K187" s="2214"/>
      <c r="L187" s="2214"/>
      <c r="M187" s="2214"/>
      <c r="N187" s="2478">
        <f>'Sources and Uses Budget'!B8</f>
        <v>4560130</v>
      </c>
      <c r="O187" s="2478"/>
      <c r="P187" s="2478"/>
      <c r="Q187" s="2478"/>
      <c r="R187" s="2478"/>
      <c r="S187" s="2478"/>
      <c r="T187" s="2478"/>
      <c r="U187" s="2383"/>
      <c r="V187" s="2383"/>
      <c r="W187" s="2383"/>
      <c r="X187" s="2383"/>
      <c r="Y187" s="2383"/>
      <c r="Z187" s="2383"/>
      <c r="AA187" s="2383"/>
      <c r="AB187" s="2383"/>
      <c r="AC187" s="2383"/>
      <c r="AD187" s="2383"/>
      <c r="AE187" s="2384"/>
      <c r="AF187" s="1209"/>
      <c r="AG187" s="1209"/>
      <c r="AH187" s="2485" t="s">
        <v>1852</v>
      </c>
      <c r="AI187" s="2486"/>
      <c r="AJ187" s="2486"/>
      <c r="AK187" s="2486"/>
      <c r="AL187" s="2486"/>
      <c r="AM187" s="2486"/>
      <c r="AN187" s="2486"/>
      <c r="AO187" s="2486"/>
      <c r="AP187" s="2486"/>
      <c r="AQ187" s="2486"/>
      <c r="AR187" s="2486"/>
      <c r="AS187" s="2486"/>
      <c r="AT187" s="2486"/>
      <c r="AU187" s="2486"/>
      <c r="AV187" s="2486"/>
      <c r="AW187" s="2486"/>
      <c r="AX187" s="2486"/>
      <c r="AY187" s="2486"/>
      <c r="AZ187" s="2486"/>
      <c r="BA187" s="2486"/>
      <c r="BB187" s="2486"/>
      <c r="BC187" s="2486"/>
      <c r="BD187" s="2486"/>
      <c r="BE187" s="2487"/>
    </row>
    <row r="188" spans="1:57" ht="15.75" customHeight="1">
      <c r="A188" s="1209"/>
      <c r="B188" s="1209"/>
      <c r="C188" s="2213" t="s">
        <v>2490</v>
      </c>
      <c r="D188" s="2214"/>
      <c r="E188" s="2214"/>
      <c r="F188" s="2214"/>
      <c r="G188" s="2214"/>
      <c r="H188" s="2214"/>
      <c r="I188" s="2214"/>
      <c r="J188" s="2214"/>
      <c r="K188" s="2214"/>
      <c r="L188" s="2214"/>
      <c r="M188" s="2214"/>
      <c r="N188" s="2493">
        <v>0</v>
      </c>
      <c r="O188" s="2493"/>
      <c r="P188" s="2493"/>
      <c r="Q188" s="2493"/>
      <c r="R188" s="2493"/>
      <c r="S188" s="2493"/>
      <c r="T188" s="2493"/>
      <c r="U188" s="2383"/>
      <c r="V188" s="2383"/>
      <c r="W188" s="2383"/>
      <c r="X188" s="2383"/>
      <c r="Y188" s="2383"/>
      <c r="Z188" s="2383"/>
      <c r="AA188" s="2383"/>
      <c r="AB188" s="2383"/>
      <c r="AC188" s="2383"/>
      <c r="AD188" s="2383"/>
      <c r="AE188" s="2384"/>
      <c r="AF188" s="1209"/>
      <c r="AG188" s="1209"/>
      <c r="AH188" s="2488" t="s">
        <v>1852</v>
      </c>
      <c r="AI188" s="2488"/>
      <c r="AJ188" s="2488"/>
      <c r="AK188" s="2488"/>
      <c r="AL188" s="2488"/>
      <c r="AM188" s="2488"/>
      <c r="AN188" s="2488"/>
      <c r="AO188" s="2488"/>
      <c r="AP188" s="2488"/>
      <c r="AQ188" s="2488"/>
      <c r="AR188" s="2488"/>
      <c r="AS188" s="2488"/>
      <c r="AT188" s="2488"/>
      <c r="AU188" s="2489">
        <f>'Sources and Uses Budget'!H99</f>
        <v>11221735.58</v>
      </c>
      <c r="AV188" s="2489"/>
      <c r="AW188" s="2489"/>
      <c r="AX188" s="2489"/>
      <c r="AY188" s="2489"/>
      <c r="AZ188" s="2489"/>
      <c r="BA188" s="2489"/>
      <c r="BB188" s="2489"/>
      <c r="BC188" s="2490"/>
      <c r="BD188" s="2491"/>
      <c r="BE188" s="2492"/>
    </row>
    <row r="189" spans="1:57" ht="15.75" customHeight="1">
      <c r="A189" s="1209"/>
      <c r="B189" s="1209"/>
      <c r="C189" s="2213" t="s">
        <v>2491</v>
      </c>
      <c r="D189" s="2214"/>
      <c r="E189" s="2214"/>
      <c r="F189" s="2214"/>
      <c r="G189" s="2214"/>
      <c r="H189" s="2214"/>
      <c r="I189" s="2214"/>
      <c r="J189" s="2214"/>
      <c r="K189" s="2214"/>
      <c r="L189" s="2214"/>
      <c r="M189" s="2214"/>
      <c r="N189" s="2493">
        <v>0</v>
      </c>
      <c r="O189" s="2493"/>
      <c r="P189" s="2493"/>
      <c r="Q189" s="2493"/>
      <c r="R189" s="2493"/>
      <c r="S189" s="2493"/>
      <c r="T189" s="2493"/>
      <c r="U189" s="2383"/>
      <c r="V189" s="2383"/>
      <c r="W189" s="2383"/>
      <c r="X189" s="2383"/>
      <c r="Y189" s="2383"/>
      <c r="Z189" s="2383"/>
      <c r="AA189" s="2383"/>
      <c r="AB189" s="2383"/>
      <c r="AC189" s="2383"/>
      <c r="AD189" s="2383"/>
      <c r="AE189" s="2384"/>
      <c r="AF189" s="1209"/>
      <c r="AG189" s="1209"/>
      <c r="AH189" s="2223" t="s">
        <v>2601</v>
      </c>
      <c r="AI189" s="2223"/>
      <c r="AJ189" s="2223"/>
      <c r="AK189" s="2223"/>
      <c r="AL189" s="2223"/>
      <c r="AM189" s="2223"/>
      <c r="AN189" s="2223"/>
      <c r="AO189" s="2223"/>
      <c r="AP189" s="2223"/>
      <c r="AQ189" s="2223"/>
      <c r="AR189" s="2223"/>
      <c r="AS189" s="2223"/>
      <c r="AT189" s="2223"/>
      <c r="AU189" s="2484">
        <f>'Sources and Uses Budget'!E99</f>
        <v>4399999.82</v>
      </c>
      <c r="AV189" s="2484"/>
      <c r="AW189" s="2484"/>
      <c r="AX189" s="2484"/>
      <c r="AY189" s="2484"/>
      <c r="AZ189" s="2484"/>
      <c r="BA189" s="2484"/>
      <c r="BB189" s="2484"/>
      <c r="BC189" s="2194"/>
      <c r="BD189" s="2195"/>
      <c r="BE189" s="2196"/>
    </row>
    <row r="190" spans="1:57" ht="15.75" customHeight="1">
      <c r="A190" s="1209"/>
      <c r="B190" s="1209"/>
      <c r="C190" s="2520" t="s">
        <v>301</v>
      </c>
      <c r="D190" s="2449"/>
      <c r="E190" s="2519" t="s">
        <v>1846</v>
      </c>
      <c r="F190" s="2519"/>
      <c r="G190" s="2519"/>
      <c r="H190" s="2519"/>
      <c r="I190" s="2519"/>
      <c r="J190" s="2519"/>
      <c r="K190" s="2519"/>
      <c r="L190" s="2519"/>
      <c r="M190" s="2519"/>
      <c r="N190" s="2493">
        <v>0</v>
      </c>
      <c r="O190" s="2493"/>
      <c r="P190" s="2493"/>
      <c r="Q190" s="2493"/>
      <c r="R190" s="2493"/>
      <c r="S190" s="2493"/>
      <c r="T190" s="2493"/>
      <c r="U190" s="2383"/>
      <c r="V190" s="2383"/>
      <c r="W190" s="2383"/>
      <c r="X190" s="2383"/>
      <c r="Y190" s="2383"/>
      <c r="Z190" s="2383"/>
      <c r="AA190" s="2383"/>
      <c r="AB190" s="2383"/>
      <c r="AC190" s="2383"/>
      <c r="AD190" s="2383"/>
      <c r="AE190" s="2384"/>
      <c r="AF190" s="1209"/>
      <c r="AG190" s="1209"/>
      <c r="AH190" s="2200" t="s">
        <v>2600</v>
      </c>
      <c r="AI190" s="2200"/>
      <c r="AJ190" s="2200"/>
      <c r="AK190" s="2200"/>
      <c r="AL190" s="2200"/>
      <c r="AM190" s="2200"/>
      <c r="AN190" s="2200"/>
      <c r="AO190" s="2200"/>
      <c r="AP190" s="2200"/>
      <c r="AQ190" s="2200"/>
      <c r="AR190" s="2200"/>
      <c r="AS190" s="2200"/>
      <c r="AT190" s="2200"/>
      <c r="AU190" s="2191">
        <f>SUM(AU188:BB189)</f>
        <v>15621735.4</v>
      </c>
      <c r="AV190" s="2191"/>
      <c r="AW190" s="2191"/>
      <c r="AX190" s="2191"/>
      <c r="AY190" s="2191"/>
      <c r="AZ190" s="2191"/>
      <c r="BA190" s="2191"/>
      <c r="BB190" s="2191"/>
      <c r="BC190" s="2194"/>
      <c r="BD190" s="2195"/>
      <c r="BE190" s="2196"/>
    </row>
    <row r="191" spans="1:57" ht="15.75" customHeight="1" thickBot="1">
      <c r="A191" s="1209"/>
      <c r="B191" s="1209"/>
      <c r="C191" s="2404" t="s">
        <v>301</v>
      </c>
      <c r="D191" s="2374"/>
      <c r="E191" s="2519" t="s">
        <v>1846</v>
      </c>
      <c r="F191" s="2519"/>
      <c r="G191" s="2519"/>
      <c r="H191" s="2519"/>
      <c r="I191" s="2519"/>
      <c r="J191" s="2519"/>
      <c r="K191" s="2519"/>
      <c r="L191" s="2519"/>
      <c r="M191" s="2519"/>
      <c r="N191" s="2493">
        <v>0</v>
      </c>
      <c r="O191" s="2493"/>
      <c r="P191" s="2493"/>
      <c r="Q191" s="2493"/>
      <c r="R191" s="2493"/>
      <c r="S191" s="2493"/>
      <c r="T191" s="2493"/>
      <c r="U191" s="2383"/>
      <c r="V191" s="2383"/>
      <c r="W191" s="2383"/>
      <c r="X191" s="2383"/>
      <c r="Y191" s="2383"/>
      <c r="Z191" s="2383"/>
      <c r="AA191" s="2383"/>
      <c r="AB191" s="2383"/>
      <c r="AC191" s="2383"/>
      <c r="AD191" s="2383"/>
      <c r="AE191" s="238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1"/>
      <c r="BD191" s="2502"/>
      <c r="BE191" s="2503"/>
    </row>
    <row r="192" spans="1:57" ht="15.75" customHeight="1" thickBot="1">
      <c r="A192" s="1209"/>
      <c r="B192" s="1209"/>
      <c r="C192" s="2508" t="s">
        <v>301</v>
      </c>
      <c r="D192" s="2509"/>
      <c r="E192" s="2510" t="s">
        <v>1846</v>
      </c>
      <c r="F192" s="2510"/>
      <c r="G192" s="2510"/>
      <c r="H192" s="2510"/>
      <c r="I192" s="2510"/>
      <c r="J192" s="2510"/>
      <c r="K192" s="2510"/>
      <c r="L192" s="2510"/>
      <c r="M192" s="2511"/>
      <c r="N192" s="2512">
        <v>0</v>
      </c>
      <c r="O192" s="2512"/>
      <c r="P192" s="2512"/>
      <c r="Q192" s="2512"/>
      <c r="R192" s="2512"/>
      <c r="S192" s="2512"/>
      <c r="T192" s="2513"/>
      <c r="U192" s="2514"/>
      <c r="V192" s="2515"/>
      <c r="W192" s="2515"/>
      <c r="X192" s="2515"/>
      <c r="Y192" s="2515"/>
      <c r="Z192" s="2515"/>
      <c r="AA192" s="2515"/>
      <c r="AB192" s="2515"/>
      <c r="AC192" s="2515"/>
      <c r="AD192" s="2515"/>
      <c r="AE192" s="2516"/>
      <c r="AF192" s="1209"/>
      <c r="AG192" s="1209"/>
      <c r="AH192" s="2545" t="s">
        <v>1853</v>
      </c>
      <c r="AI192" s="2546"/>
      <c r="AJ192" s="2546"/>
      <c r="AK192" s="2546"/>
      <c r="AL192" s="2546"/>
      <c r="AM192" s="2546"/>
      <c r="AN192" s="2546"/>
      <c r="AO192" s="2546"/>
      <c r="AP192" s="2546"/>
      <c r="AQ192" s="2546"/>
      <c r="AR192" s="2546"/>
      <c r="AS192" s="2546"/>
      <c r="AT192" s="2546"/>
      <c r="AU192" s="2494"/>
      <c r="AV192" s="2494"/>
      <c r="AW192" s="2494"/>
      <c r="AX192" s="2494"/>
      <c r="AY192" s="2494"/>
      <c r="AZ192" s="2494"/>
      <c r="BA192" s="2494"/>
      <c r="BB192" s="2494"/>
      <c r="BC192" s="1222"/>
      <c r="BD192" s="1222"/>
      <c r="BE192" s="1221"/>
    </row>
    <row r="193" spans="1:57" ht="15.75" customHeight="1">
      <c r="A193" s="1209"/>
      <c r="B193" s="1209"/>
      <c r="C193" s="2504" t="s">
        <v>1854</v>
      </c>
      <c r="D193" s="2505"/>
      <c r="E193" s="2505"/>
      <c r="F193" s="2505"/>
      <c r="G193" s="2505"/>
      <c r="H193" s="2505"/>
      <c r="I193" s="2505"/>
      <c r="J193" s="2505"/>
      <c r="K193" s="2505"/>
      <c r="L193" s="2505"/>
      <c r="M193" s="2505"/>
      <c r="N193" s="2506">
        <f>SUM(N185:T192)</f>
        <v>9338491.5</v>
      </c>
      <c r="O193" s="2506"/>
      <c r="P193" s="2506"/>
      <c r="Q193" s="2506"/>
      <c r="R193" s="2506"/>
      <c r="S193" s="2506"/>
      <c r="T193" s="2507"/>
      <c r="U193" s="1209"/>
      <c r="V193" s="1209"/>
      <c r="W193" s="1209"/>
      <c r="X193" s="1209"/>
      <c r="Y193" s="1209"/>
      <c r="Z193" s="1209"/>
      <c r="AA193" s="1209"/>
      <c r="AB193" s="1209"/>
      <c r="AC193" s="1209"/>
      <c r="AD193" s="1209"/>
      <c r="AE193" s="1209"/>
      <c r="AF193" s="1209"/>
      <c r="AG193" s="1209"/>
      <c r="AH193" s="2517" t="s">
        <v>2599</v>
      </c>
      <c r="AI193" s="2517"/>
      <c r="AJ193" s="2517"/>
      <c r="AK193" s="2517"/>
      <c r="AL193" s="2517"/>
      <c r="AM193" s="2517"/>
      <c r="AN193" s="2517"/>
      <c r="AO193" s="2517"/>
      <c r="AP193" s="2517"/>
      <c r="AQ193" s="2517"/>
      <c r="AR193" s="2517"/>
      <c r="AS193" s="2517"/>
      <c r="AT193" s="2517"/>
      <c r="AU193" s="2517"/>
      <c r="AV193" s="2517"/>
      <c r="AW193" s="2517"/>
      <c r="AX193" s="2517"/>
      <c r="AY193" s="2517"/>
      <c r="AZ193" s="2517"/>
      <c r="BA193" s="2517"/>
      <c r="BB193" s="2517"/>
      <c r="BC193" s="2517"/>
      <c r="BD193" s="2517"/>
      <c r="BE193" s="2518"/>
    </row>
    <row r="194" spans="1:57" ht="15.75" customHeight="1" thickBot="1">
      <c r="A194" s="1209"/>
      <c r="B194" s="1209"/>
      <c r="C194" s="2547" t="s">
        <v>2492</v>
      </c>
      <c r="D194" s="2548"/>
      <c r="E194" s="2548"/>
      <c r="F194" s="2548"/>
      <c r="G194" s="2548"/>
      <c r="H194" s="2548"/>
      <c r="I194" s="2548"/>
      <c r="J194" s="2548"/>
      <c r="K194" s="2548"/>
      <c r="L194" s="2548"/>
      <c r="M194" s="2548"/>
      <c r="N194" s="2549">
        <f>(N183-N193)/J29</f>
        <v>548929.50047058833</v>
      </c>
      <c r="O194" s="2550"/>
      <c r="P194" s="2550"/>
      <c r="Q194" s="2550"/>
      <c r="R194" s="2550"/>
      <c r="S194" s="2550"/>
      <c r="T194" s="2551"/>
      <c r="U194" s="1220"/>
      <c r="V194" s="1209"/>
      <c r="W194" s="1209"/>
      <c r="X194" s="1209"/>
      <c r="Y194" s="1209"/>
      <c r="Z194" s="1209"/>
      <c r="AA194" s="1209"/>
      <c r="AB194" s="1209"/>
      <c r="AC194" s="1209"/>
      <c r="AD194" s="1209"/>
      <c r="AE194" s="1209"/>
      <c r="AF194" s="1209"/>
      <c r="AG194" s="1209"/>
      <c r="AH194" s="2517"/>
      <c r="AI194" s="2517"/>
      <c r="AJ194" s="2517"/>
      <c r="AK194" s="2517"/>
      <c r="AL194" s="2517"/>
      <c r="AM194" s="2517"/>
      <c r="AN194" s="2517"/>
      <c r="AO194" s="2517"/>
      <c r="AP194" s="2517"/>
      <c r="AQ194" s="2517"/>
      <c r="AR194" s="2517"/>
      <c r="AS194" s="2517"/>
      <c r="AT194" s="2517"/>
      <c r="AU194" s="2517"/>
      <c r="AV194" s="2517"/>
      <c r="AW194" s="2517"/>
      <c r="AX194" s="2517"/>
      <c r="AY194" s="2517"/>
      <c r="AZ194" s="2517"/>
      <c r="BA194" s="2517"/>
      <c r="BB194" s="2517"/>
      <c r="BC194" s="2517"/>
      <c r="BD194" s="2517"/>
      <c r="BE194" s="251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2"/>
      <c r="AI195" s="2552"/>
      <c r="AJ195" s="2552"/>
      <c r="AK195" s="2552"/>
      <c r="AL195" s="2552"/>
      <c r="AM195" s="2552"/>
      <c r="AN195" s="2552"/>
      <c r="AO195" s="2552"/>
      <c r="AP195" s="2552"/>
      <c r="AQ195" s="2552"/>
      <c r="AR195" s="2552"/>
      <c r="AS195" s="2495"/>
      <c r="AT195" s="2495"/>
      <c r="AU195" s="2495"/>
      <c r="AV195" s="2495"/>
      <c r="AW195" s="2495"/>
      <c r="AX195" s="2495"/>
      <c r="AY195" s="2495"/>
      <c r="AZ195" s="2495"/>
      <c r="BA195" s="2495"/>
      <c r="BB195" s="2495"/>
      <c r="BC195" s="2495"/>
      <c r="BD195" s="249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6" t="s">
        <v>2598</v>
      </c>
      <c r="D197" s="2497"/>
      <c r="E197" s="2497"/>
      <c r="F197" s="2497"/>
      <c r="G197" s="2497"/>
      <c r="H197" s="2497"/>
      <c r="I197" s="2497"/>
      <c r="J197" s="2497"/>
      <c r="K197" s="2497"/>
      <c r="L197" s="2497"/>
      <c r="M197" s="2497"/>
      <c r="N197" s="2497"/>
      <c r="O197" s="2497"/>
      <c r="P197" s="2497"/>
      <c r="Q197" s="2497"/>
      <c r="R197" s="2497"/>
      <c r="S197" s="2497"/>
      <c r="T197" s="2497"/>
      <c r="U197" s="2497"/>
      <c r="V197" s="2497"/>
      <c r="W197" s="2497"/>
      <c r="X197" s="2497"/>
      <c r="Y197" s="2497"/>
      <c r="Z197" s="2497"/>
      <c r="AA197" s="2497"/>
      <c r="AB197" s="2497"/>
      <c r="AC197" s="2497"/>
      <c r="AD197" s="2497"/>
      <c r="AE197" s="249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3" t="s">
        <v>2597</v>
      </c>
      <c r="D198" s="2203"/>
      <c r="E198" s="2203"/>
      <c r="F198" s="2203"/>
      <c r="G198" s="2203"/>
      <c r="H198" s="2203"/>
      <c r="I198" s="2203"/>
      <c r="J198" s="2203"/>
      <c r="K198" s="2203"/>
      <c r="L198" s="2203"/>
      <c r="M198" s="2203"/>
      <c r="N198" s="2203"/>
      <c r="O198" s="2204" t="s">
        <v>2596</v>
      </c>
      <c r="P198" s="2204"/>
      <c r="Q198" s="2204"/>
      <c r="R198" s="2204"/>
      <c r="S198" s="2204"/>
      <c r="T198" s="2204"/>
      <c r="U198" s="2204"/>
      <c r="V198" s="2204"/>
      <c r="W198" s="2204"/>
      <c r="X198" s="2204" t="s">
        <v>2595</v>
      </c>
      <c r="Y198" s="2204"/>
      <c r="Z198" s="2204"/>
      <c r="AA198" s="2204"/>
      <c r="AB198" s="2204"/>
      <c r="AC198" s="2204"/>
      <c r="AD198" s="2204"/>
      <c r="AE198" s="220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1" t="s">
        <v>2594</v>
      </c>
      <c r="D199" s="2201"/>
      <c r="E199" s="2201"/>
      <c r="F199" s="2201"/>
      <c r="G199" s="2201"/>
      <c r="H199" s="2201"/>
      <c r="I199" s="2201"/>
      <c r="J199" s="2201"/>
      <c r="K199" s="2201"/>
      <c r="L199" s="2201"/>
      <c r="M199" s="2201"/>
      <c r="N199" s="2201"/>
      <c r="O199" s="2499">
        <f>172*10*12</f>
        <v>20640</v>
      </c>
      <c r="P199" s="2500"/>
      <c r="Q199" s="2500"/>
      <c r="R199" s="2500"/>
      <c r="S199" s="2500"/>
      <c r="T199" s="2500"/>
      <c r="U199" s="2500"/>
      <c r="V199" s="2500"/>
      <c r="W199" s="2500"/>
      <c r="X199" s="2521">
        <v>0.03</v>
      </c>
      <c r="Y199" s="2521"/>
      <c r="Z199" s="2521"/>
      <c r="AA199" s="2521"/>
      <c r="AB199" s="2521"/>
      <c r="AC199" s="2521"/>
      <c r="AD199" s="2521"/>
      <c r="AE199" s="25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1" t="s">
        <v>866</v>
      </c>
      <c r="D200" s="2201"/>
      <c r="E200" s="2201"/>
      <c r="F200" s="2201"/>
      <c r="G200" s="2201"/>
      <c r="H200" s="2201"/>
      <c r="I200" s="2201"/>
      <c r="J200" s="2201"/>
      <c r="K200" s="2201"/>
      <c r="L200" s="2201"/>
      <c r="M200" s="2201"/>
      <c r="N200" s="2201"/>
      <c r="O200" s="2500">
        <f>35000-O199</f>
        <v>14360</v>
      </c>
      <c r="P200" s="2500"/>
      <c r="Q200" s="2500"/>
      <c r="R200" s="2500"/>
      <c r="S200" s="2500"/>
      <c r="T200" s="2500"/>
      <c r="U200" s="2500"/>
      <c r="V200" s="2500"/>
      <c r="W200" s="2500"/>
      <c r="X200" s="2521">
        <v>0.03</v>
      </c>
      <c r="Y200" s="2521"/>
      <c r="Z200" s="2521"/>
      <c r="AA200" s="2521"/>
      <c r="AB200" s="2521"/>
      <c r="AC200" s="2521"/>
      <c r="AD200" s="2521"/>
      <c r="AE200" s="25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1" t="s">
        <v>2593</v>
      </c>
      <c r="D201" s="2201"/>
      <c r="E201" s="2201"/>
      <c r="F201" s="2201"/>
      <c r="G201" s="2201"/>
      <c r="H201" s="2201"/>
      <c r="I201" s="2201"/>
      <c r="J201" s="2201"/>
      <c r="K201" s="2201"/>
      <c r="L201" s="2201"/>
      <c r="M201" s="2201"/>
      <c r="N201" s="2201"/>
      <c r="O201" s="2205">
        <f>SUM(O199:W200)</f>
        <v>35000</v>
      </c>
      <c r="P201" s="2206"/>
      <c r="Q201" s="2206"/>
      <c r="R201" s="2206"/>
      <c r="S201" s="2206"/>
      <c r="T201" s="2206"/>
      <c r="U201" s="2206"/>
      <c r="V201" s="2206"/>
      <c r="W201" s="2206"/>
      <c r="X201" s="2206" t="s">
        <v>2592</v>
      </c>
      <c r="Y201" s="2206"/>
      <c r="Z201" s="2206"/>
      <c r="AA201" s="2206"/>
      <c r="AB201" s="2206"/>
      <c r="AC201" s="2206"/>
      <c r="AD201" s="2206"/>
      <c r="AE201" s="220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2" t="s">
        <v>2591</v>
      </c>
      <c r="D202" s="2202"/>
      <c r="E202" s="2202"/>
      <c r="F202" s="2202"/>
      <c r="G202" s="2202"/>
      <c r="H202" s="2202"/>
      <c r="I202" s="2202"/>
      <c r="J202" s="2202"/>
      <c r="K202" s="2202"/>
      <c r="L202" s="2202"/>
      <c r="M202" s="2202"/>
      <c r="N202" s="2202"/>
      <c r="O202" s="2202"/>
      <c r="P202" s="2202"/>
      <c r="Q202" s="2202"/>
      <c r="R202" s="2202"/>
      <c r="S202" s="2202"/>
      <c r="T202" s="2202"/>
      <c r="U202" s="2202"/>
      <c r="V202" s="2202"/>
      <c r="W202" s="2202"/>
      <c r="X202" s="2202"/>
      <c r="Y202" s="2202"/>
      <c r="Z202" s="2202"/>
      <c r="AA202" s="2202"/>
      <c r="AB202" s="2202"/>
      <c r="AC202" s="2202"/>
      <c r="AD202" s="2202"/>
      <c r="AE202" s="220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2" t="s">
        <v>2590</v>
      </c>
      <c r="D204" s="2523"/>
      <c r="E204" s="2523"/>
      <c r="F204" s="2523"/>
      <c r="G204" s="2523"/>
      <c r="H204" s="2523"/>
      <c r="I204" s="2523"/>
      <c r="J204" s="2523"/>
      <c r="K204" s="2523"/>
      <c r="L204" s="2523"/>
      <c r="M204" s="2523"/>
      <c r="N204" s="2523"/>
      <c r="O204" s="2523"/>
      <c r="P204" s="2523"/>
      <c r="Q204" s="2523"/>
      <c r="R204" s="2523"/>
      <c r="S204" s="2523"/>
      <c r="T204" s="2523"/>
      <c r="U204" s="2523"/>
      <c r="V204" s="2523"/>
      <c r="W204" s="2523"/>
      <c r="X204" s="2523"/>
      <c r="Y204" s="2523"/>
      <c r="Z204" s="2523"/>
      <c r="AA204" s="2523"/>
      <c r="AB204" s="2523"/>
      <c r="AC204" s="2523"/>
      <c r="AD204" s="2523"/>
      <c r="AE204" s="2523"/>
      <c r="AF204" s="2523"/>
      <c r="AG204" s="2523"/>
      <c r="AH204" s="2523"/>
      <c r="AI204" s="2523"/>
      <c r="AJ204" s="2523"/>
      <c r="AK204" s="252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5" t="s">
        <v>2589</v>
      </c>
      <c r="D205" s="2526"/>
      <c r="E205" s="2526"/>
      <c r="F205" s="2527"/>
      <c r="G205" s="2531" t="s">
        <v>2588</v>
      </c>
      <c r="H205" s="2526"/>
      <c r="I205" s="2526"/>
      <c r="J205" s="2526"/>
      <c r="K205" s="2526"/>
      <c r="L205" s="2526"/>
      <c r="M205" s="2526"/>
      <c r="N205" s="2526"/>
      <c r="O205" s="2527"/>
      <c r="P205" s="2533" t="s">
        <v>2587</v>
      </c>
      <c r="Q205" s="2534"/>
      <c r="R205" s="2534"/>
      <c r="S205" s="2534"/>
      <c r="T205" s="2535"/>
      <c r="U205" s="2539" t="s">
        <v>2586</v>
      </c>
      <c r="V205" s="2540"/>
      <c r="W205" s="2540"/>
      <c r="X205" s="2541"/>
      <c r="Y205" s="2539" t="s">
        <v>2585</v>
      </c>
      <c r="Z205" s="2540"/>
      <c r="AA205" s="2540"/>
      <c r="AB205" s="2541"/>
      <c r="AC205" s="2539" t="s">
        <v>2584</v>
      </c>
      <c r="AD205" s="2540"/>
      <c r="AE205" s="2540"/>
      <c r="AF205" s="2541"/>
      <c r="AG205" s="2531" t="s">
        <v>2583</v>
      </c>
      <c r="AH205" s="2526"/>
      <c r="AI205" s="2526"/>
      <c r="AJ205" s="2526"/>
      <c r="AK205" s="258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8"/>
      <c r="D206" s="2529"/>
      <c r="E206" s="2529"/>
      <c r="F206" s="2530"/>
      <c r="G206" s="2532"/>
      <c r="H206" s="2529"/>
      <c r="I206" s="2529"/>
      <c r="J206" s="2529"/>
      <c r="K206" s="2529"/>
      <c r="L206" s="2529"/>
      <c r="M206" s="2529"/>
      <c r="N206" s="2529"/>
      <c r="O206" s="2530"/>
      <c r="P206" s="2536"/>
      <c r="Q206" s="2537"/>
      <c r="R206" s="2537"/>
      <c r="S206" s="2537"/>
      <c r="T206" s="2538"/>
      <c r="U206" s="2542"/>
      <c r="V206" s="2543"/>
      <c r="W206" s="2543"/>
      <c r="X206" s="2544"/>
      <c r="Y206" s="2542"/>
      <c r="Z206" s="2543"/>
      <c r="AA206" s="2543"/>
      <c r="AB206" s="2544"/>
      <c r="AC206" s="2542"/>
      <c r="AD206" s="2543"/>
      <c r="AE206" s="2543"/>
      <c r="AF206" s="2544"/>
      <c r="AG206" s="2532"/>
      <c r="AH206" s="2529"/>
      <c r="AI206" s="2529"/>
      <c r="AJ206" s="2529"/>
      <c r="AK206" s="259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0">
        <v>1</v>
      </c>
      <c r="D207" s="2181"/>
      <c r="E207" s="2181"/>
      <c r="F207" s="2181"/>
      <c r="G207" s="2182" t="s">
        <v>2772</v>
      </c>
      <c r="H207" s="2182"/>
      <c r="I207" s="2182"/>
      <c r="J207" s="2182"/>
      <c r="K207" s="2182"/>
      <c r="L207" s="2182"/>
      <c r="M207" s="2182"/>
      <c r="N207" s="2182"/>
      <c r="O207" s="2182"/>
      <c r="P207" s="2183">
        <v>45689</v>
      </c>
      <c r="Q207" s="2591"/>
      <c r="R207" s="2591"/>
      <c r="S207" s="2591"/>
      <c r="T207" s="2591"/>
      <c r="U207" s="2184">
        <v>4407521</v>
      </c>
      <c r="V207" s="2184"/>
      <c r="W207" s="2184"/>
      <c r="X207" s="2184"/>
      <c r="Y207" s="2184">
        <v>1320000</v>
      </c>
      <c r="Z207" s="2184"/>
      <c r="AA207" s="2184"/>
      <c r="AB207" s="2184"/>
      <c r="AC207" s="2185">
        <v>0.2</v>
      </c>
      <c r="AD207" s="2185"/>
      <c r="AE207" s="2185"/>
      <c r="AF207" s="2185"/>
      <c r="AG207" s="2583" t="s">
        <v>2773</v>
      </c>
      <c r="AH207" s="2584"/>
      <c r="AI207" s="2584"/>
      <c r="AJ207" s="2584"/>
      <c r="AK207" s="258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0">
        <v>2</v>
      </c>
      <c r="D208" s="2181"/>
      <c r="E208" s="2181"/>
      <c r="F208" s="2181"/>
      <c r="G208" s="2182" t="s">
        <v>2774</v>
      </c>
      <c r="H208" s="2182"/>
      <c r="I208" s="2182"/>
      <c r="J208" s="2182"/>
      <c r="K208" s="2182"/>
      <c r="L208" s="2182"/>
      <c r="M208" s="2182"/>
      <c r="N208" s="2182"/>
      <c r="O208" s="2182"/>
      <c r="P208" s="2183">
        <v>45901</v>
      </c>
      <c r="Q208" s="2183"/>
      <c r="R208" s="2183"/>
      <c r="S208" s="2183"/>
      <c r="T208" s="2183"/>
      <c r="U208" s="2184">
        <v>881504</v>
      </c>
      <c r="V208" s="2184"/>
      <c r="W208" s="2184"/>
      <c r="X208" s="2184"/>
      <c r="Y208" s="2184">
        <v>440000</v>
      </c>
      <c r="Z208" s="2184"/>
      <c r="AA208" s="2184"/>
      <c r="AB208" s="2184"/>
      <c r="AC208" s="2185">
        <v>0.2</v>
      </c>
      <c r="AD208" s="2185"/>
      <c r="AE208" s="2185"/>
      <c r="AF208" s="2185"/>
      <c r="AG208" s="2583" t="s">
        <v>2773</v>
      </c>
      <c r="AH208" s="2584"/>
      <c r="AI208" s="2584"/>
      <c r="AJ208" s="2584"/>
      <c r="AK208" s="258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0">
        <v>3</v>
      </c>
      <c r="D209" s="2181"/>
      <c r="E209" s="2181"/>
      <c r="F209" s="2181"/>
      <c r="G209" s="2182" t="s">
        <v>573</v>
      </c>
      <c r="H209" s="2182"/>
      <c r="I209" s="2182"/>
      <c r="J209" s="2182"/>
      <c r="K209" s="2182"/>
      <c r="L209" s="2182"/>
      <c r="M209" s="2182"/>
      <c r="N209" s="2182"/>
      <c r="O209" s="2182"/>
      <c r="P209" s="2183">
        <v>46388</v>
      </c>
      <c r="Q209" s="2183"/>
      <c r="R209" s="2183"/>
      <c r="S209" s="2183"/>
      <c r="T209" s="2183"/>
      <c r="U209" s="2184">
        <v>3304541</v>
      </c>
      <c r="V209" s="2184"/>
      <c r="W209" s="2184"/>
      <c r="X209" s="2184"/>
      <c r="Y209" s="2184">
        <v>880000</v>
      </c>
      <c r="Z209" s="2184"/>
      <c r="AA209" s="2184"/>
      <c r="AB209" s="2184"/>
      <c r="AC209" s="2185">
        <v>0.2</v>
      </c>
      <c r="AD209" s="2185"/>
      <c r="AE209" s="2185"/>
      <c r="AF209" s="2185"/>
      <c r="AG209" s="2583" t="s">
        <v>2773</v>
      </c>
      <c r="AH209" s="2584"/>
      <c r="AI209" s="2584"/>
      <c r="AJ209" s="2584"/>
      <c r="AK209" s="258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0">
        <v>4</v>
      </c>
      <c r="D210" s="2181"/>
      <c r="E210" s="2181"/>
      <c r="F210" s="2181"/>
      <c r="G210" s="2182" t="s">
        <v>2775</v>
      </c>
      <c r="H210" s="2182"/>
      <c r="I210" s="2182"/>
      <c r="J210" s="2182"/>
      <c r="K210" s="2182"/>
      <c r="L210" s="2182"/>
      <c r="M210" s="2182"/>
      <c r="N210" s="2182"/>
      <c r="O210" s="2182"/>
      <c r="P210" s="2183">
        <v>46600</v>
      </c>
      <c r="Q210" s="2183"/>
      <c r="R210" s="2183"/>
      <c r="S210" s="2183"/>
      <c r="T210" s="2183"/>
      <c r="U210" s="2184">
        <v>35260171</v>
      </c>
      <c r="V210" s="2184"/>
      <c r="W210" s="2184"/>
      <c r="X210" s="2184"/>
      <c r="Y210" s="2184">
        <v>1539624</v>
      </c>
      <c r="Z210" s="2184"/>
      <c r="AA210" s="2184"/>
      <c r="AB210" s="2184"/>
      <c r="AC210" s="2185">
        <v>0.45</v>
      </c>
      <c r="AD210" s="2185"/>
      <c r="AE210" s="2185"/>
      <c r="AF210" s="2185"/>
      <c r="AG210" s="2583" t="s">
        <v>2773</v>
      </c>
      <c r="AH210" s="2584"/>
      <c r="AI210" s="2584"/>
      <c r="AJ210" s="2584"/>
      <c r="AK210" s="258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0">
        <v>5</v>
      </c>
      <c r="D211" s="2181"/>
      <c r="E211" s="2181"/>
      <c r="F211" s="2181"/>
      <c r="G211" s="2182" t="s">
        <v>2776</v>
      </c>
      <c r="H211" s="2182"/>
      <c r="I211" s="2182"/>
      <c r="J211" s="2182"/>
      <c r="K211" s="2182"/>
      <c r="L211" s="2182"/>
      <c r="M211" s="2182"/>
      <c r="N211" s="2182"/>
      <c r="O211" s="2182"/>
      <c r="P211" s="2183" t="s">
        <v>2777</v>
      </c>
      <c r="Q211" s="2183"/>
      <c r="R211" s="2183"/>
      <c r="S211" s="2183"/>
      <c r="T211" s="2183"/>
      <c r="U211" s="2184">
        <v>220376</v>
      </c>
      <c r="V211" s="2184"/>
      <c r="W211" s="2184"/>
      <c r="X211" s="2184"/>
      <c r="Y211" s="2184">
        <v>220376</v>
      </c>
      <c r="Z211" s="2184"/>
      <c r="AA211" s="2184"/>
      <c r="AB211" s="2184"/>
      <c r="AC211" s="2185">
        <v>0.05</v>
      </c>
      <c r="AD211" s="2185"/>
      <c r="AE211" s="2185"/>
      <c r="AF211" s="2185"/>
      <c r="AG211" s="2583" t="s">
        <v>2773</v>
      </c>
      <c r="AH211" s="2584"/>
      <c r="AI211" s="2584"/>
      <c r="AJ211" s="2584"/>
      <c r="AK211" s="258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0">
        <v>6</v>
      </c>
      <c r="D212" s="2181"/>
      <c r="E212" s="2181"/>
      <c r="F212" s="2181"/>
      <c r="G212" s="2182" t="s">
        <v>2155</v>
      </c>
      <c r="H212" s="2182"/>
      <c r="I212" s="2182"/>
      <c r="J212" s="2182"/>
      <c r="K212" s="2182"/>
      <c r="L212" s="2182"/>
      <c r="M212" s="2182"/>
      <c r="N212" s="2182"/>
      <c r="O212" s="2182"/>
      <c r="P212" s="2183"/>
      <c r="Q212" s="2183"/>
      <c r="R212" s="2183"/>
      <c r="S212" s="2183"/>
      <c r="T212" s="2183"/>
      <c r="U212" s="2184"/>
      <c r="V212" s="2184"/>
      <c r="W212" s="2184"/>
      <c r="X212" s="2184"/>
      <c r="Y212" s="2184"/>
      <c r="Z212" s="2184"/>
      <c r="AA212" s="2184"/>
      <c r="AB212" s="2184"/>
      <c r="AC212" s="2185" t="s">
        <v>2155</v>
      </c>
      <c r="AD212" s="2185"/>
      <c r="AE212" s="2185"/>
      <c r="AF212" s="2185"/>
      <c r="AG212" s="2583"/>
      <c r="AH212" s="2584"/>
      <c r="AI212" s="2584"/>
      <c r="AJ212" s="2584"/>
      <c r="AK212" s="258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0">
        <v>7</v>
      </c>
      <c r="D213" s="2181"/>
      <c r="E213" s="2181"/>
      <c r="F213" s="2181"/>
      <c r="G213" s="2186"/>
      <c r="H213" s="2187"/>
      <c r="I213" s="2187"/>
      <c r="J213" s="2187"/>
      <c r="K213" s="2187"/>
      <c r="L213" s="2187"/>
      <c r="M213" s="2187"/>
      <c r="N213" s="2187"/>
      <c r="O213" s="2188"/>
      <c r="P213" s="2183"/>
      <c r="Q213" s="2183"/>
      <c r="R213" s="2183"/>
      <c r="S213" s="2183"/>
      <c r="T213" s="2183"/>
      <c r="U213" s="2184"/>
      <c r="V213" s="2184"/>
      <c r="W213" s="2184"/>
      <c r="X213" s="2184"/>
      <c r="Y213" s="2184"/>
      <c r="Z213" s="2184"/>
      <c r="AA213" s="2184"/>
      <c r="AB213" s="2184"/>
      <c r="AC213" s="2185" t="s">
        <v>2155</v>
      </c>
      <c r="AD213" s="2185"/>
      <c r="AE213" s="2185"/>
      <c r="AF213" s="2185"/>
      <c r="AG213" s="2583"/>
      <c r="AH213" s="2584"/>
      <c r="AI213" s="2584"/>
      <c r="AJ213" s="2584"/>
      <c r="AK213" s="258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5" t="s">
        <v>2582</v>
      </c>
      <c r="D214" s="2176"/>
      <c r="E214" s="2176"/>
      <c r="F214" s="2176"/>
      <c r="G214" s="2176"/>
      <c r="H214" s="2176"/>
      <c r="I214" s="2176"/>
      <c r="J214" s="2176"/>
      <c r="K214" s="2176"/>
      <c r="L214" s="2176"/>
      <c r="M214" s="2176"/>
      <c r="N214" s="2176"/>
      <c r="O214" s="2176"/>
      <c r="P214" s="2177"/>
      <c r="Q214" s="2177"/>
      <c r="R214" s="2177"/>
      <c r="S214" s="2177"/>
      <c r="T214" s="2177"/>
      <c r="U214" s="2178">
        <v>0</v>
      </c>
      <c r="V214" s="2178"/>
      <c r="W214" s="2178"/>
      <c r="X214" s="2178"/>
      <c r="Y214" s="2178">
        <v>0</v>
      </c>
      <c r="Z214" s="2178"/>
      <c r="AA214" s="2178"/>
      <c r="AB214" s="2178"/>
      <c r="AC214" s="2179">
        <v>0</v>
      </c>
      <c r="AD214" s="2179"/>
      <c r="AE214" s="2179"/>
      <c r="AF214" s="2179"/>
      <c r="AG214" s="2586"/>
      <c r="AH214" s="2587"/>
      <c r="AI214" s="2587"/>
      <c r="AJ214" s="2587"/>
      <c r="AK214" s="258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2581</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9" t="s">
        <v>1855</v>
      </c>
      <c r="C219" s="2560"/>
      <c r="D219" s="2560"/>
      <c r="E219" s="2560"/>
      <c r="F219" s="2560"/>
      <c r="G219" s="2560"/>
      <c r="H219" s="2560"/>
      <c r="I219" s="2560"/>
      <c r="J219" s="2560"/>
      <c r="K219" s="2560"/>
      <c r="L219" s="2560"/>
      <c r="M219" s="2560"/>
      <c r="N219" s="2560"/>
      <c r="O219" s="2560"/>
      <c r="P219" s="2560"/>
      <c r="Q219" s="2560"/>
      <c r="R219" s="2560"/>
      <c r="S219" s="2560"/>
      <c r="T219" s="2560"/>
      <c r="U219" s="2560"/>
      <c r="V219" s="2560"/>
      <c r="W219" s="2560"/>
      <c r="X219" s="2560"/>
      <c r="Y219" s="2560"/>
      <c r="Z219" s="2560"/>
      <c r="AA219" s="2560"/>
      <c r="AB219" s="2560"/>
      <c r="AC219" s="2560"/>
      <c r="AD219" s="2560"/>
      <c r="AE219" s="2560"/>
      <c r="AF219" s="2560"/>
      <c r="AG219" s="2560"/>
      <c r="AH219" s="2560"/>
      <c r="AI219" s="2560"/>
      <c r="AJ219" s="2560"/>
      <c r="AK219" s="2560"/>
      <c r="AL219" s="2560"/>
      <c r="AM219" s="2560"/>
      <c r="AN219" s="2560"/>
      <c r="AO219" s="2560"/>
      <c r="AP219" s="2560"/>
      <c r="AQ219" s="2560"/>
      <c r="AR219" s="2560"/>
      <c r="AS219" s="2560"/>
      <c r="AT219" s="2560"/>
      <c r="AU219" s="2560"/>
      <c r="AV219" s="2560"/>
      <c r="AW219" s="2560"/>
      <c r="AX219" s="2560"/>
      <c r="AY219" s="2560"/>
      <c r="AZ219" s="2560"/>
      <c r="BA219" s="2560"/>
      <c r="BB219" s="2560"/>
      <c r="BC219" s="2560"/>
      <c r="BD219" s="2561"/>
      <c r="BE219" s="1205"/>
    </row>
    <row r="220" spans="1:57" ht="15.75" customHeight="1">
      <c r="A220" s="1209"/>
      <c r="B220" s="2562"/>
      <c r="C220" s="2563"/>
      <c r="D220" s="2563"/>
      <c r="E220" s="2563"/>
      <c r="F220" s="2563"/>
      <c r="G220" s="2563"/>
      <c r="H220" s="2563"/>
      <c r="I220" s="2563"/>
      <c r="J220" s="2563"/>
      <c r="K220" s="2563"/>
      <c r="L220" s="2563"/>
      <c r="M220" s="2563"/>
      <c r="N220" s="2563"/>
      <c r="O220" s="2563"/>
      <c r="P220" s="2563"/>
      <c r="Q220" s="2563"/>
      <c r="R220" s="2563"/>
      <c r="S220" s="2563"/>
      <c r="T220" s="2563"/>
      <c r="U220" s="2563"/>
      <c r="V220" s="2563"/>
      <c r="W220" s="2563"/>
      <c r="X220" s="2563"/>
      <c r="Y220" s="2563"/>
      <c r="Z220" s="2563"/>
      <c r="AA220" s="2563"/>
      <c r="AB220" s="2563"/>
      <c r="AC220" s="2563"/>
      <c r="AD220" s="2563"/>
      <c r="AE220" s="2563"/>
      <c r="AF220" s="2563"/>
      <c r="AG220" s="2563"/>
      <c r="AH220" s="2563"/>
      <c r="AI220" s="2563"/>
      <c r="AJ220" s="2563"/>
      <c r="AK220" s="2563"/>
      <c r="AL220" s="2563"/>
      <c r="AM220" s="2563"/>
      <c r="AN220" s="2563"/>
      <c r="AO220" s="2563"/>
      <c r="AP220" s="2563"/>
      <c r="AQ220" s="2563"/>
      <c r="AR220" s="2563"/>
      <c r="AS220" s="2563"/>
      <c r="AT220" s="2563"/>
      <c r="AU220" s="2563"/>
      <c r="AV220" s="2563"/>
      <c r="AW220" s="2563"/>
      <c r="AX220" s="2563"/>
      <c r="AY220" s="2563"/>
      <c r="AZ220" s="2563"/>
      <c r="BA220" s="2563"/>
      <c r="BB220" s="2563"/>
      <c r="BC220" s="2563"/>
      <c r="BD220" s="2564"/>
      <c r="BE220" s="1205"/>
    </row>
    <row r="221" spans="1:57" ht="15.75" customHeight="1">
      <c r="A221" s="1209"/>
      <c r="B221" s="2565" t="s">
        <v>1856</v>
      </c>
      <c r="C221" s="2566"/>
      <c r="D221" s="2566"/>
      <c r="E221" s="2566"/>
      <c r="F221" s="2566"/>
      <c r="G221" s="2566"/>
      <c r="H221" s="2566"/>
      <c r="I221" s="2566"/>
      <c r="J221" s="2566"/>
      <c r="K221" s="2566"/>
      <c r="L221" s="2566"/>
      <c r="M221" s="2566"/>
      <c r="N221" s="2566"/>
      <c r="O221" s="2566"/>
      <c r="P221" s="2566"/>
      <c r="Q221" s="2566"/>
      <c r="R221" s="2566"/>
      <c r="S221" s="2566"/>
      <c r="T221" s="2566"/>
      <c r="U221" s="2566"/>
      <c r="V221" s="2566"/>
      <c r="W221" s="2566"/>
      <c r="X221" s="2566"/>
      <c r="Y221" s="2566"/>
      <c r="Z221" s="2566"/>
      <c r="AA221" s="2566"/>
      <c r="AB221" s="2566"/>
      <c r="AC221" s="2566"/>
      <c r="AD221" s="2566"/>
      <c r="AE221" s="2566"/>
      <c r="AF221" s="2566"/>
      <c r="AG221" s="2566"/>
      <c r="AH221" s="2566"/>
      <c r="AI221" s="2566"/>
      <c r="AJ221" s="2566"/>
      <c r="AK221" s="2566"/>
      <c r="AL221" s="2566"/>
      <c r="AM221" s="2566"/>
      <c r="AN221" s="2566"/>
      <c r="AO221" s="2566"/>
      <c r="AP221" s="2566"/>
      <c r="AQ221" s="2566"/>
      <c r="AR221" s="2566"/>
      <c r="AS221" s="2566"/>
      <c r="AT221" s="2566"/>
      <c r="AU221" s="2566"/>
      <c r="AV221" s="2566"/>
      <c r="AW221" s="2566"/>
      <c r="AX221" s="2566"/>
      <c r="AY221" s="2566"/>
      <c r="AZ221" s="2566"/>
      <c r="BA221" s="2566"/>
      <c r="BB221" s="2566"/>
      <c r="BC221" s="2566"/>
      <c r="BD221" s="2567"/>
      <c r="BE221" s="1205"/>
    </row>
    <row r="222" spans="1:57" ht="15.75" customHeight="1">
      <c r="A222" s="1209"/>
      <c r="B222" s="2565" t="s">
        <v>1857</v>
      </c>
      <c r="C222" s="2566"/>
      <c r="D222" s="2566"/>
      <c r="E222" s="2566"/>
      <c r="F222" s="2566"/>
      <c r="G222" s="2566"/>
      <c r="H222" s="2566"/>
      <c r="I222" s="2566"/>
      <c r="J222" s="2566"/>
      <c r="K222" s="2566"/>
      <c r="L222" s="2566"/>
      <c r="M222" s="2566"/>
      <c r="N222" s="2566"/>
      <c r="O222" s="2566"/>
      <c r="P222" s="2566"/>
      <c r="Q222" s="2566"/>
      <c r="R222" s="2566"/>
      <c r="S222" s="2566"/>
      <c r="T222" s="2566"/>
      <c r="U222" s="2566"/>
      <c r="V222" s="2566"/>
      <c r="W222" s="2566"/>
      <c r="X222" s="2566"/>
      <c r="Y222" s="2566"/>
      <c r="Z222" s="2566"/>
      <c r="AA222" s="2566"/>
      <c r="AB222" s="2566"/>
      <c r="AC222" s="2566"/>
      <c r="AD222" s="2566"/>
      <c r="AE222" s="2566"/>
      <c r="AF222" s="2566"/>
      <c r="AG222" s="2566"/>
      <c r="AH222" s="2566"/>
      <c r="AI222" s="2566"/>
      <c r="AJ222" s="2566"/>
      <c r="AK222" s="2566"/>
      <c r="AL222" s="2566"/>
      <c r="AM222" s="2566"/>
      <c r="AN222" s="2566"/>
      <c r="AO222" s="2566"/>
      <c r="AP222" s="2566"/>
      <c r="AQ222" s="2566"/>
      <c r="AR222" s="2566"/>
      <c r="AS222" s="2566"/>
      <c r="AT222" s="2566"/>
      <c r="AU222" s="2566"/>
      <c r="AV222" s="2566"/>
      <c r="AW222" s="2566"/>
      <c r="AX222" s="2566"/>
      <c r="AY222" s="2566"/>
      <c r="AZ222" s="2566"/>
      <c r="BA222" s="2566"/>
      <c r="BB222" s="2566"/>
      <c r="BC222" s="2566"/>
      <c r="BD222" s="256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8" t="s">
        <v>1858</v>
      </c>
      <c r="C224" s="2569"/>
      <c r="D224" s="2569"/>
      <c r="E224" s="2569"/>
      <c r="F224" s="2569"/>
      <c r="G224" s="2569"/>
      <c r="H224" s="2569"/>
      <c r="I224" s="2569"/>
      <c r="J224" s="2569"/>
      <c r="K224" s="2569"/>
      <c r="L224" s="2569"/>
      <c r="M224" s="2569"/>
      <c r="N224" s="2569"/>
      <c r="O224" s="2569"/>
      <c r="P224" s="2569"/>
      <c r="Q224" s="2569"/>
      <c r="R224" s="2569"/>
      <c r="S224" s="2569"/>
      <c r="T224" s="2569"/>
      <c r="U224" s="2569"/>
      <c r="V224" s="2569"/>
      <c r="W224" s="2569"/>
      <c r="X224" s="2569"/>
      <c r="Y224" s="2569"/>
      <c r="Z224" s="2569"/>
      <c r="AA224" s="2569"/>
      <c r="AB224" s="2569"/>
      <c r="AC224" s="2569"/>
      <c r="AD224" s="2569"/>
      <c r="AE224" s="2569"/>
      <c r="AF224" s="2569"/>
      <c r="AG224" s="2569"/>
      <c r="AH224" s="2569"/>
      <c r="AI224" s="2569"/>
      <c r="AJ224" s="2569"/>
      <c r="AK224" s="2569"/>
      <c r="AL224" s="2569"/>
      <c r="AM224" s="2569"/>
      <c r="AN224" s="2569"/>
      <c r="AO224" s="2569"/>
      <c r="AP224" s="2569"/>
      <c r="AQ224" s="2569"/>
      <c r="AR224" s="2569"/>
      <c r="AS224" s="2569"/>
      <c r="AT224" s="2569"/>
      <c r="AU224" s="2569"/>
      <c r="AV224" s="2569"/>
      <c r="AW224" s="2569"/>
      <c r="AX224" s="2569"/>
      <c r="AY224" s="2569"/>
      <c r="AZ224" s="2569"/>
      <c r="BA224" s="2569"/>
      <c r="BB224" s="2569"/>
      <c r="BC224" s="2569"/>
      <c r="BD224" s="257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2" t="s">
        <v>1860</v>
      </c>
      <c r="I228" s="2582"/>
      <c r="J228" s="2582"/>
      <c r="K228" s="2582"/>
      <c r="L228" s="2582"/>
      <c r="M228" s="2582"/>
      <c r="N228" s="2582"/>
      <c r="O228" s="2582"/>
      <c r="P228" s="2582"/>
      <c r="Q228" s="2582"/>
      <c r="R228" s="2582"/>
      <c r="S228" s="2582"/>
      <c r="T228" s="2582"/>
      <c r="U228" s="2582"/>
      <c r="V228" s="2582"/>
      <c r="W228" s="2582"/>
      <c r="X228" s="2582"/>
      <c r="Y228" s="2582"/>
      <c r="Z228" s="2582"/>
      <c r="AA228" s="2582"/>
      <c r="AB228" s="2582"/>
      <c r="AC228" s="2582"/>
      <c r="AD228" s="2582"/>
      <c r="AE228" s="2582"/>
      <c r="AF228" s="2582"/>
      <c r="AG228" s="2582"/>
      <c r="AH228" s="2582"/>
      <c r="AI228" s="2582"/>
      <c r="AJ228" s="2582"/>
      <c r="AK228" s="2582"/>
      <c r="AL228" s="2582"/>
      <c r="AM228" s="2582"/>
      <c r="AN228" s="2582"/>
      <c r="AO228" s="2582"/>
      <c r="AP228" s="2582"/>
      <c r="AQ228" s="2582"/>
      <c r="AR228" s="2582"/>
      <c r="AS228" s="2582"/>
      <c r="AT228" s="2582"/>
      <c r="AU228" s="2582"/>
      <c r="AV228" s="2582"/>
      <c r="AW228" s="2582"/>
      <c r="AX228" s="2582"/>
      <c r="AY228" s="258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1" t="s">
        <v>2493</v>
      </c>
      <c r="I230" s="2581"/>
      <c r="J230" s="2581"/>
      <c r="K230" s="2581"/>
      <c r="L230" s="2581"/>
      <c r="M230" s="2581"/>
      <c r="N230" s="2581"/>
      <c r="O230" s="2581"/>
      <c r="P230" s="2581"/>
      <c r="Q230" s="2581"/>
      <c r="R230" s="2581"/>
      <c r="S230" s="2581"/>
      <c r="T230" s="2581"/>
      <c r="U230" s="2581"/>
      <c r="V230" s="2581"/>
      <c r="W230" s="2581"/>
      <c r="X230" s="2581"/>
      <c r="Y230" s="2581"/>
      <c r="Z230" s="2581"/>
      <c r="AA230" s="2581"/>
      <c r="AB230" s="2581"/>
      <c r="AC230" s="2581"/>
      <c r="AD230" s="2581"/>
      <c r="AE230" s="2581"/>
      <c r="AF230" s="2581"/>
      <c r="AG230" s="2581"/>
      <c r="AH230" s="2581"/>
      <c r="AI230" s="2581"/>
      <c r="AJ230" s="2581"/>
      <c r="AK230" s="2581"/>
      <c r="AL230" s="2581"/>
      <c r="AM230" s="2581"/>
      <c r="AN230" s="2581"/>
      <c r="AO230" s="2581"/>
      <c r="AP230" s="2581"/>
      <c r="AQ230" s="2581"/>
      <c r="AR230" s="2581"/>
      <c r="AS230" s="2581"/>
      <c r="AT230" s="2581"/>
      <c r="AU230" s="2581"/>
      <c r="AV230" s="2581"/>
      <c r="AW230" s="2581"/>
      <c r="AX230" s="2581"/>
      <c r="AY230" s="2581"/>
      <c r="AZ230" s="2581"/>
      <c r="BA230" s="1209"/>
      <c r="BB230" s="1209"/>
      <c r="BC230" s="1209"/>
      <c r="BD230" s="1205"/>
      <c r="BE230" s="1205"/>
    </row>
    <row r="231" spans="1:57" ht="15.75" customHeight="1">
      <c r="A231" s="1209"/>
      <c r="B231" s="1215"/>
      <c r="C231" s="1209"/>
      <c r="D231" s="1209"/>
      <c r="E231" s="1209"/>
      <c r="F231" s="1209"/>
      <c r="G231" s="1209"/>
      <c r="H231" s="2581"/>
      <c r="I231" s="2581"/>
      <c r="J231" s="2581"/>
      <c r="K231" s="2581"/>
      <c r="L231" s="2581"/>
      <c r="M231" s="2581"/>
      <c r="N231" s="2581"/>
      <c r="O231" s="2581"/>
      <c r="P231" s="2581"/>
      <c r="Q231" s="2581"/>
      <c r="R231" s="2581"/>
      <c r="S231" s="2581"/>
      <c r="T231" s="2581"/>
      <c r="U231" s="2581"/>
      <c r="V231" s="2581"/>
      <c r="W231" s="2581"/>
      <c r="X231" s="2581"/>
      <c r="Y231" s="2581"/>
      <c r="Z231" s="2581"/>
      <c r="AA231" s="2581"/>
      <c r="AB231" s="2581"/>
      <c r="AC231" s="2581"/>
      <c r="AD231" s="2581"/>
      <c r="AE231" s="2581"/>
      <c r="AF231" s="2581"/>
      <c r="AG231" s="2581"/>
      <c r="AH231" s="2581"/>
      <c r="AI231" s="2581"/>
      <c r="AJ231" s="2581"/>
      <c r="AK231" s="2581"/>
      <c r="AL231" s="2581"/>
      <c r="AM231" s="2581"/>
      <c r="AN231" s="2581"/>
      <c r="AO231" s="2581"/>
      <c r="AP231" s="2581"/>
      <c r="AQ231" s="2581"/>
      <c r="AR231" s="2581"/>
      <c r="AS231" s="2581"/>
      <c r="AT231" s="2581"/>
      <c r="AU231" s="2581"/>
      <c r="AV231" s="2581"/>
      <c r="AW231" s="2581"/>
      <c r="AX231" s="2581"/>
      <c r="AY231" s="2581"/>
      <c r="AZ231" s="2581"/>
      <c r="BA231" s="1209"/>
      <c r="BB231" s="1209"/>
      <c r="BC231" s="1209"/>
      <c r="BD231" s="1205"/>
      <c r="BE231" s="1205"/>
    </row>
    <row r="232" spans="1:57" ht="15.75" customHeight="1">
      <c r="A232" s="1209"/>
      <c r="B232" s="1215"/>
      <c r="C232" s="1209"/>
      <c r="D232" s="1209"/>
      <c r="E232" s="1209"/>
      <c r="F232" s="1209"/>
      <c r="G232" s="1209"/>
      <c r="H232" s="2581"/>
      <c r="I232" s="2581"/>
      <c r="J232" s="2581"/>
      <c r="K232" s="2581"/>
      <c r="L232" s="2581"/>
      <c r="M232" s="2581"/>
      <c r="N232" s="2581"/>
      <c r="O232" s="2581"/>
      <c r="P232" s="2581"/>
      <c r="Q232" s="2581"/>
      <c r="R232" s="2581"/>
      <c r="S232" s="2581"/>
      <c r="T232" s="2581"/>
      <c r="U232" s="2581"/>
      <c r="V232" s="2581"/>
      <c r="W232" s="2581"/>
      <c r="X232" s="2581"/>
      <c r="Y232" s="2581"/>
      <c r="Z232" s="2581"/>
      <c r="AA232" s="2581"/>
      <c r="AB232" s="2581"/>
      <c r="AC232" s="2581"/>
      <c r="AD232" s="2581"/>
      <c r="AE232" s="2581"/>
      <c r="AF232" s="2581"/>
      <c r="AG232" s="2581"/>
      <c r="AH232" s="2581"/>
      <c r="AI232" s="2581"/>
      <c r="AJ232" s="2581"/>
      <c r="AK232" s="2581"/>
      <c r="AL232" s="2581"/>
      <c r="AM232" s="2581"/>
      <c r="AN232" s="2581"/>
      <c r="AO232" s="2581"/>
      <c r="AP232" s="2581"/>
      <c r="AQ232" s="2581"/>
      <c r="AR232" s="2581"/>
      <c r="AS232" s="2581"/>
      <c r="AT232" s="2581"/>
      <c r="AU232" s="2581"/>
      <c r="AV232" s="2581"/>
      <c r="AW232" s="2581"/>
      <c r="AX232" s="2581"/>
      <c r="AY232" s="2581"/>
      <c r="AZ232" s="2581"/>
      <c r="BA232" s="1209"/>
      <c r="BB232" s="1209"/>
      <c r="BC232" s="1209"/>
      <c r="BD232" s="1205"/>
      <c r="BE232" s="1205"/>
    </row>
    <row r="233" spans="1:57" ht="15.75" customHeight="1">
      <c r="A233" s="1209"/>
      <c r="B233" s="1215"/>
      <c r="C233" s="1209"/>
      <c r="D233" s="1209"/>
      <c r="E233" s="1209"/>
      <c r="F233" s="1209"/>
      <c r="G233" s="1209"/>
      <c r="H233" s="2581"/>
      <c r="I233" s="2581"/>
      <c r="J233" s="2581"/>
      <c r="K233" s="2581"/>
      <c r="L233" s="2581"/>
      <c r="M233" s="2581"/>
      <c r="N233" s="2581"/>
      <c r="O233" s="2581"/>
      <c r="P233" s="2581"/>
      <c r="Q233" s="2581"/>
      <c r="R233" s="2581"/>
      <c r="S233" s="2581"/>
      <c r="T233" s="2581"/>
      <c r="U233" s="2581"/>
      <c r="V233" s="2581"/>
      <c r="W233" s="2581"/>
      <c r="X233" s="2581"/>
      <c r="Y233" s="2581"/>
      <c r="Z233" s="2581"/>
      <c r="AA233" s="2581"/>
      <c r="AB233" s="2581"/>
      <c r="AC233" s="2581"/>
      <c r="AD233" s="2581"/>
      <c r="AE233" s="2581"/>
      <c r="AF233" s="2581"/>
      <c r="AG233" s="2581"/>
      <c r="AH233" s="2581"/>
      <c r="AI233" s="2581"/>
      <c r="AJ233" s="2581"/>
      <c r="AK233" s="2581"/>
      <c r="AL233" s="2581"/>
      <c r="AM233" s="2581"/>
      <c r="AN233" s="2581"/>
      <c r="AO233" s="2581"/>
      <c r="AP233" s="2581"/>
      <c r="AQ233" s="2581"/>
      <c r="AR233" s="2581"/>
      <c r="AS233" s="2581"/>
      <c r="AT233" s="2581"/>
      <c r="AU233" s="2581"/>
      <c r="AV233" s="2581"/>
      <c r="AW233" s="2581"/>
      <c r="AX233" s="2581"/>
      <c r="AY233" s="2581"/>
      <c r="AZ233" s="258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0" t="s">
        <v>1861</v>
      </c>
      <c r="I235" s="2580"/>
      <c r="J235" s="2580"/>
      <c r="K235" s="2580"/>
      <c r="L235" s="2580"/>
      <c r="M235" s="2580"/>
      <c r="N235" s="2580"/>
      <c r="O235" s="2580"/>
      <c r="P235" s="2580"/>
      <c r="Q235" s="2580"/>
      <c r="R235" s="2580"/>
      <c r="S235" s="2580"/>
      <c r="T235" s="2580"/>
      <c r="U235" s="2580"/>
      <c r="V235" s="2580"/>
      <c r="W235" s="2580"/>
      <c r="X235" s="2580"/>
      <c r="Y235" s="2580"/>
      <c r="Z235" s="2580"/>
      <c r="AA235" s="2580"/>
      <c r="AB235" s="2580"/>
      <c r="AC235" s="2580"/>
      <c r="AD235" s="2580"/>
      <c r="AE235" s="2580"/>
      <c r="AF235" s="2580"/>
      <c r="AG235" s="2580"/>
      <c r="AH235" s="2580"/>
      <c r="AI235" s="2580"/>
      <c r="AJ235" s="2580"/>
      <c r="AK235" s="2580"/>
      <c r="AL235" s="2580"/>
      <c r="AM235" s="2580"/>
      <c r="AN235" s="2580"/>
      <c r="AO235" s="2580"/>
      <c r="AP235" s="2580"/>
      <c r="AQ235" s="2580"/>
      <c r="AR235" s="2580"/>
      <c r="AS235" s="2580"/>
      <c r="AT235" s="2580"/>
      <c r="AU235" s="2580"/>
      <c r="AV235" s="258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6" t="s">
        <v>1862</v>
      </c>
      <c r="I237" s="2556"/>
      <c r="J237" s="2556"/>
      <c r="K237" s="2556"/>
      <c r="L237" s="1211"/>
      <c r="M237" s="1211"/>
      <c r="N237" s="1211"/>
      <c r="O237" s="1211"/>
      <c r="P237" s="1211"/>
      <c r="Q237" s="1211"/>
      <c r="R237" s="1211"/>
      <c r="S237" s="2577"/>
      <c r="T237" s="2578"/>
      <c r="U237" s="2578"/>
      <c r="V237" s="2578"/>
      <c r="W237" s="2578"/>
      <c r="X237" s="2578"/>
      <c r="Y237" s="2578"/>
      <c r="Z237" s="2578"/>
      <c r="AA237" s="2578"/>
      <c r="AB237" s="2578"/>
      <c r="AC237" s="2578"/>
      <c r="AD237" s="2578"/>
      <c r="AE237" s="2578"/>
      <c r="AF237" s="2578"/>
      <c r="AG237" s="2578"/>
      <c r="AH237" s="2578"/>
      <c r="AI237" s="2578"/>
      <c r="AJ237" s="257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6" t="s">
        <v>1863</v>
      </c>
      <c r="I239" s="2556"/>
      <c r="J239" s="2556"/>
      <c r="K239" s="1213"/>
      <c r="L239" s="1211"/>
      <c r="M239" s="1211"/>
      <c r="N239" s="1211"/>
      <c r="O239" s="1211"/>
      <c r="P239" s="1211"/>
      <c r="Q239" s="1211"/>
      <c r="R239" s="1211"/>
      <c r="S239" s="2574" t="s">
        <v>2778</v>
      </c>
      <c r="T239" s="2575"/>
      <c r="U239" s="2575"/>
      <c r="V239" s="2575"/>
      <c r="W239" s="2575"/>
      <c r="X239" s="2575"/>
      <c r="Y239" s="2575"/>
      <c r="Z239" s="2575"/>
      <c r="AA239" s="2575"/>
      <c r="AB239" s="2575"/>
      <c r="AC239" s="2575"/>
      <c r="AD239" s="2575"/>
      <c r="AE239" s="2575"/>
      <c r="AF239" s="2575"/>
      <c r="AG239" s="2575"/>
      <c r="AH239" s="2575"/>
      <c r="AI239" s="2575"/>
      <c r="AJ239" s="257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6" t="s">
        <v>444</v>
      </c>
      <c r="I241" s="2556"/>
      <c r="J241" s="1213"/>
      <c r="K241" s="1213"/>
      <c r="L241" s="1211"/>
      <c r="M241" s="1211"/>
      <c r="N241" s="1211"/>
      <c r="O241" s="1211"/>
      <c r="P241" s="1211"/>
      <c r="Q241" s="1211"/>
      <c r="R241" s="1211"/>
      <c r="S241" s="2574" t="s">
        <v>2779</v>
      </c>
      <c r="T241" s="2575"/>
      <c r="U241" s="2575"/>
      <c r="V241" s="2575"/>
      <c r="W241" s="2575"/>
      <c r="X241" s="2575"/>
      <c r="Y241" s="2575"/>
      <c r="Z241" s="2575"/>
      <c r="AA241" s="2575"/>
      <c r="AB241" s="2575"/>
      <c r="AC241" s="2575"/>
      <c r="AD241" s="2575"/>
      <c r="AE241" s="2575"/>
      <c r="AF241" s="2575"/>
      <c r="AG241" s="2575"/>
      <c r="AH241" s="2575"/>
      <c r="AI241" s="2575"/>
      <c r="AJ241" s="257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7" t="s">
        <v>1864</v>
      </c>
      <c r="I243" s="2557"/>
      <c r="J243" s="2557"/>
      <c r="K243" s="2557"/>
      <c r="L243" s="2557"/>
      <c r="M243" s="2557"/>
      <c r="N243" s="2557"/>
      <c r="O243" s="2557"/>
      <c r="P243" s="1211"/>
      <c r="Q243" s="1211"/>
      <c r="R243" s="1211"/>
      <c r="S243" s="2574" t="s">
        <v>2649</v>
      </c>
      <c r="T243" s="2575"/>
      <c r="U243" s="2575"/>
      <c r="V243" s="2575"/>
      <c r="W243" s="2575"/>
      <c r="X243" s="2575"/>
      <c r="Y243" s="2575"/>
      <c r="Z243" s="2575"/>
      <c r="AA243" s="2575"/>
      <c r="AB243" s="2575"/>
      <c r="AC243" s="2575"/>
      <c r="AD243" s="2575"/>
      <c r="AE243" s="2575"/>
      <c r="AF243" s="2575"/>
      <c r="AG243" s="2575"/>
      <c r="AH243" s="2575"/>
      <c r="AI243" s="2575"/>
      <c r="AJ243" s="257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8" t="s">
        <v>1865</v>
      </c>
      <c r="I245" s="2558"/>
      <c r="J245" s="1211"/>
      <c r="K245" s="1211"/>
      <c r="L245" s="1211"/>
      <c r="M245" s="1211"/>
      <c r="N245" s="1211"/>
      <c r="O245" s="1211"/>
      <c r="P245" s="1211"/>
      <c r="Q245" s="1211"/>
      <c r="R245" s="1211"/>
      <c r="S245" s="2571"/>
      <c r="T245" s="2572"/>
      <c r="U245" s="2572"/>
      <c r="V245" s="2572"/>
      <c r="W245" s="2572"/>
      <c r="X245" s="2572"/>
      <c r="Y245" s="2572"/>
      <c r="Z245" s="2572"/>
      <c r="AA245" s="2572"/>
      <c r="AB245" s="2572"/>
      <c r="AC245" s="2572"/>
      <c r="AD245" s="2572"/>
      <c r="AE245" s="2572"/>
      <c r="AF245" s="2572"/>
      <c r="AG245" s="2572"/>
      <c r="AH245" s="2572"/>
      <c r="AI245" s="2572"/>
      <c r="AJ245" s="257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3" workbookViewId="0">
      <selection activeCell="AB72" sqref="AB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8" t="s">
        <v>1391</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row>
    <row r="2" spans="1:40" ht="12.95" customHeight="1" thickBot="1">
      <c r="A2" s="2669"/>
      <c r="B2" s="2669"/>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66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8" t="str">
        <f xml:space="preserve"> IF(T25=100%,'Sources and Basis Breakdown'!G2,'Sources and Basis Breakdown'!F2)</f>
        <v>30% PVC for New Const/
Rehabilitation
DDA/QCT
Building(s)</v>
      </c>
      <c r="U7" s="2648"/>
      <c r="V7" s="2648"/>
      <c r="W7" s="2648"/>
      <c r="X7" s="2648"/>
      <c r="Y7" s="2648" t="str">
        <f>IF(T25=100%,"",'Sources and Basis Breakdown'!G2)</f>
        <v>30% PVC for New Const/
Rehabilitation
NON-DDA/
NON-QCT Building(s)</v>
      </c>
      <c r="Z7" s="2648"/>
      <c r="AA7" s="2648"/>
      <c r="AB7" s="2648"/>
      <c r="AC7" s="2648"/>
      <c r="AD7" s="2648" t="str">
        <f xml:space="preserve"> IF(T25=100%, 'Sources and Basis Breakdown'!J2,'Sources and Basis Breakdown'!I2)</f>
        <v>30% PVC for Acquisition
DDA/QCT Building(s)</v>
      </c>
      <c r="AE7" s="2648"/>
      <c r="AF7" s="2648"/>
      <c r="AG7" s="2648"/>
      <c r="AH7" s="2648"/>
      <c r="AI7" s="2648" t="str">
        <f>IF(T25=100%,"",'Sources and Basis Breakdown'!J2)</f>
        <v>30% PVC for Acquisition
NON-DDA/
NON-QCT Building(s)</v>
      </c>
      <c r="AJ7" s="2648"/>
      <c r="AK7" s="2648"/>
      <c r="AL7" s="2648"/>
      <c r="AM7" s="2648"/>
    </row>
    <row r="8" spans="1:40" ht="12.95" customHeight="1">
      <c r="B8" s="438"/>
      <c r="T8" s="2648"/>
      <c r="U8" s="2648"/>
      <c r="V8" s="2648"/>
      <c r="W8" s="2648"/>
      <c r="X8" s="2648"/>
      <c r="Y8" s="2648"/>
      <c r="Z8" s="2648"/>
      <c r="AA8" s="2648"/>
      <c r="AB8" s="2648"/>
      <c r="AC8" s="2648"/>
      <c r="AD8" s="2648"/>
      <c r="AE8" s="2648"/>
      <c r="AF8" s="2648"/>
      <c r="AG8" s="2648"/>
      <c r="AH8" s="2648"/>
      <c r="AI8" s="2648"/>
      <c r="AJ8" s="2648"/>
      <c r="AK8" s="2648"/>
      <c r="AL8" s="2648"/>
      <c r="AM8" s="2648"/>
    </row>
    <row r="9" spans="1:40" ht="12.95" customHeight="1">
      <c r="B9" s="438"/>
      <c r="T9" s="2648"/>
      <c r="U9" s="2648"/>
      <c r="V9" s="2648"/>
      <c r="W9" s="2648"/>
      <c r="X9" s="2648"/>
      <c r="Y9" s="2648"/>
      <c r="Z9" s="2648"/>
      <c r="AA9" s="2648"/>
      <c r="AB9" s="2648"/>
      <c r="AC9" s="2648"/>
      <c r="AD9" s="2648"/>
      <c r="AE9" s="2648"/>
      <c r="AF9" s="2648"/>
      <c r="AG9" s="2648"/>
      <c r="AH9" s="2648"/>
      <c r="AI9" s="2648"/>
      <c r="AJ9" s="2648"/>
      <c r="AK9" s="2648"/>
      <c r="AL9" s="2648"/>
      <c r="AM9" s="2648"/>
    </row>
    <row r="10" spans="1:40" ht="12.95" customHeight="1">
      <c r="B10" s="439"/>
      <c r="C10" s="440"/>
      <c r="D10" s="440"/>
      <c r="E10" s="440"/>
      <c r="F10" s="440"/>
      <c r="G10" s="440"/>
      <c r="H10" s="440"/>
      <c r="I10" s="440"/>
      <c r="J10" s="440"/>
      <c r="K10" s="440"/>
      <c r="L10" s="440"/>
      <c r="M10" s="440"/>
      <c r="N10" s="440"/>
      <c r="O10" s="440"/>
      <c r="P10" s="440"/>
      <c r="Q10" s="440"/>
      <c r="R10" s="440"/>
      <c r="S10" s="440"/>
      <c r="T10" s="2648"/>
      <c r="U10" s="2648"/>
      <c r="V10" s="2648"/>
      <c r="W10" s="2648"/>
      <c r="X10" s="2648"/>
      <c r="Y10" s="2648"/>
      <c r="Z10" s="2648"/>
      <c r="AA10" s="2648"/>
      <c r="AB10" s="2648"/>
      <c r="AC10" s="2648"/>
      <c r="AD10" s="2648"/>
      <c r="AE10" s="2648"/>
      <c r="AF10" s="2648"/>
      <c r="AG10" s="2648"/>
      <c r="AH10" s="2648"/>
      <c r="AI10" s="2648"/>
      <c r="AJ10" s="2648"/>
      <c r="AK10" s="2648"/>
      <c r="AL10" s="2648"/>
      <c r="AM10" s="2648"/>
    </row>
    <row r="11" spans="1:40" ht="12.95" customHeight="1">
      <c r="B11" s="2631" t="s">
        <v>376</v>
      </c>
      <c r="C11" s="2632"/>
      <c r="D11" s="2632"/>
      <c r="E11" s="2632"/>
      <c r="F11" s="2632"/>
      <c r="G11" s="2632"/>
      <c r="H11" s="2632"/>
      <c r="I11" s="2632"/>
      <c r="J11" s="2632"/>
      <c r="K11" s="2632"/>
      <c r="L11" s="2632"/>
      <c r="M11" s="2632"/>
      <c r="N11" s="2632"/>
      <c r="O11" s="2632"/>
      <c r="P11" s="2632"/>
      <c r="Q11" s="2632"/>
      <c r="R11" s="2632"/>
      <c r="S11" s="2633"/>
      <c r="T11" s="2670">
        <f>IF('Sources and Basis Breakdown'!F107=0,'Sources and Basis Breakdown'!E107,'Sources and Basis Breakdown'!F107)</f>
        <v>93730412.480000004</v>
      </c>
      <c r="U11" s="2671"/>
      <c r="V11" s="2671"/>
      <c r="W11" s="2671"/>
      <c r="X11" s="2671"/>
      <c r="Y11" s="2670">
        <f>IF(Y7="",0,IF('Sources and Basis Breakdown'!G107+'Sources and Basis Breakdown'!F107='Sources and Basis Breakdown'!E107,'Sources and Basis Breakdown'!G107,0))</f>
        <v>0</v>
      </c>
      <c r="Z11" s="2671"/>
      <c r="AA11" s="2671"/>
      <c r="AB11" s="2671"/>
      <c r="AC11" s="2671"/>
      <c r="AD11" s="2671">
        <f>IF('Sources and Basis Breakdown'!I107=0,'Sources and Basis Breakdown'!H107,'Sources and Basis Breakdown'!I107)</f>
        <v>0</v>
      </c>
      <c r="AE11" s="2671"/>
      <c r="AF11" s="2671"/>
      <c r="AG11" s="2671"/>
      <c r="AH11" s="2671"/>
      <c r="AI11" s="2671">
        <f>IF(Y7="",0,IF('Sources and Basis Breakdown'!I107+'Sources and Basis Breakdown'!J107='Sources and Basis Breakdown'!H107,'Sources and Basis Breakdown'!J107,0))</f>
        <v>0</v>
      </c>
      <c r="AJ11" s="2671"/>
      <c r="AK11" s="2671"/>
      <c r="AL11" s="2671"/>
      <c r="AM11" s="2671"/>
    </row>
    <row r="12" spans="1:40" ht="12.95" customHeight="1">
      <c r="B12" s="2672" t="s">
        <v>506</v>
      </c>
      <c r="C12" s="1283"/>
      <c r="D12" s="1283"/>
      <c r="E12" s="1283"/>
      <c r="F12" s="1283"/>
      <c r="G12" s="1283"/>
      <c r="H12" s="1283"/>
      <c r="I12" s="1283"/>
      <c r="J12" s="1283"/>
      <c r="K12" s="1283"/>
      <c r="L12" s="1283"/>
      <c r="M12" s="1283"/>
      <c r="N12" s="1283"/>
      <c r="O12" s="1283"/>
      <c r="P12" s="1283"/>
      <c r="Q12" s="1283"/>
      <c r="R12" s="1283"/>
      <c r="S12" s="2673"/>
      <c r="T12" s="2663"/>
      <c r="U12" s="2664"/>
      <c r="V12" s="2664"/>
      <c r="W12" s="2664"/>
      <c r="X12" s="2665"/>
      <c r="Y12" s="2663"/>
      <c r="Z12" s="2664"/>
      <c r="AA12" s="2664"/>
      <c r="AB12" s="2664"/>
      <c r="AC12" s="2665"/>
      <c r="AD12" s="2663"/>
      <c r="AE12" s="2664"/>
      <c r="AF12" s="2664"/>
      <c r="AG12" s="2664"/>
      <c r="AH12" s="2665"/>
      <c r="AI12" s="2663"/>
      <c r="AJ12" s="2664"/>
      <c r="AK12" s="2664"/>
      <c r="AL12" s="2664"/>
      <c r="AM12" s="2665"/>
    </row>
    <row r="13" spans="1:40" ht="12.95" customHeight="1">
      <c r="B13" s="467"/>
      <c r="C13" s="2674" t="s">
        <v>507</v>
      </c>
      <c r="D13" s="2674"/>
      <c r="E13" s="2674"/>
      <c r="F13" s="2674"/>
      <c r="G13" s="2674"/>
      <c r="H13" s="2674"/>
      <c r="I13" s="2674"/>
      <c r="J13" s="2674"/>
      <c r="K13" s="2674"/>
      <c r="L13" s="2674"/>
      <c r="M13" s="2674"/>
      <c r="N13" s="2674"/>
      <c r="O13" s="2674"/>
      <c r="P13" s="2674"/>
      <c r="Q13" s="2674"/>
      <c r="R13" s="2674"/>
      <c r="S13" s="2675"/>
      <c r="T13" s="2666"/>
      <c r="U13" s="2667"/>
      <c r="V13" s="2667"/>
      <c r="W13" s="2667"/>
      <c r="X13" s="2667"/>
      <c r="Y13" s="2666"/>
      <c r="Z13" s="2667"/>
      <c r="AA13" s="2667"/>
      <c r="AB13" s="2667"/>
      <c r="AC13" s="2667"/>
      <c r="AD13" s="2667"/>
      <c r="AE13" s="2667"/>
      <c r="AF13" s="2667"/>
      <c r="AG13" s="2667"/>
      <c r="AH13" s="2667"/>
      <c r="AI13" s="2667"/>
      <c r="AJ13" s="2667"/>
      <c r="AK13" s="2667"/>
      <c r="AL13" s="2667"/>
      <c r="AM13" s="2667"/>
    </row>
    <row r="14" spans="1:40" ht="12.95" customHeight="1">
      <c r="B14" s="467"/>
      <c r="C14" s="2674" t="s">
        <v>508</v>
      </c>
      <c r="D14" s="2674"/>
      <c r="E14" s="2674"/>
      <c r="F14" s="2674"/>
      <c r="G14" s="2674"/>
      <c r="H14" s="2674"/>
      <c r="I14" s="2674"/>
      <c r="J14" s="2674"/>
      <c r="K14" s="2674"/>
      <c r="L14" s="2674"/>
      <c r="M14" s="2674"/>
      <c r="N14" s="2674"/>
      <c r="O14" s="2674"/>
      <c r="P14" s="2674"/>
      <c r="Q14" s="2674"/>
      <c r="R14" s="2674"/>
      <c r="S14" s="2675"/>
      <c r="T14" s="2656"/>
      <c r="U14" s="2657"/>
      <c r="V14" s="2657"/>
      <c r="W14" s="2657"/>
      <c r="X14" s="2657"/>
      <c r="Y14" s="2656"/>
      <c r="Z14" s="2657"/>
      <c r="AA14" s="2657"/>
      <c r="AB14" s="2657"/>
      <c r="AC14" s="2657"/>
      <c r="AD14" s="2657"/>
      <c r="AE14" s="2657"/>
      <c r="AF14" s="2657"/>
      <c r="AG14" s="2657"/>
      <c r="AH14" s="2657"/>
      <c r="AI14" s="2657"/>
      <c r="AJ14" s="2657"/>
      <c r="AK14" s="2657"/>
      <c r="AL14" s="2657"/>
      <c r="AM14" s="2657"/>
    </row>
    <row r="15" spans="1:40" ht="12.95" customHeight="1">
      <c r="B15" s="467"/>
      <c r="C15" s="2674" t="s">
        <v>509</v>
      </c>
      <c r="D15" s="2674"/>
      <c r="E15" s="2674"/>
      <c r="F15" s="2674"/>
      <c r="G15" s="2674"/>
      <c r="H15" s="2674"/>
      <c r="I15" s="2674"/>
      <c r="J15" s="2674"/>
      <c r="K15" s="2674"/>
      <c r="L15" s="2674"/>
      <c r="M15" s="2674"/>
      <c r="N15" s="2674"/>
      <c r="O15" s="2674"/>
      <c r="P15" s="2674"/>
      <c r="Q15" s="2674"/>
      <c r="R15" s="2674"/>
      <c r="S15" s="2675"/>
      <c r="T15" s="2656"/>
      <c r="U15" s="2657"/>
      <c r="V15" s="2657"/>
      <c r="W15" s="2657"/>
      <c r="X15" s="2657"/>
      <c r="Y15" s="2656"/>
      <c r="Z15" s="2657"/>
      <c r="AA15" s="2657"/>
      <c r="AB15" s="2657"/>
      <c r="AC15" s="2657"/>
      <c r="AD15" s="2657"/>
      <c r="AE15" s="2657"/>
      <c r="AF15" s="2657"/>
      <c r="AG15" s="2657"/>
      <c r="AH15" s="2657"/>
      <c r="AI15" s="2657"/>
      <c r="AJ15" s="2657"/>
      <c r="AK15" s="2657"/>
      <c r="AL15" s="2657"/>
      <c r="AM15" s="2657"/>
    </row>
    <row r="16" spans="1:40" ht="12.95" customHeight="1">
      <c r="B16" s="467"/>
      <c r="C16" s="2674" t="s">
        <v>815</v>
      </c>
      <c r="D16" s="2674"/>
      <c r="E16" s="2674"/>
      <c r="F16" s="2674"/>
      <c r="G16" s="2674"/>
      <c r="H16" s="2674"/>
      <c r="I16" s="2674"/>
      <c r="J16" s="2674"/>
      <c r="K16" s="2674"/>
      <c r="L16" s="2674"/>
      <c r="M16" s="2674"/>
      <c r="N16" s="2674"/>
      <c r="O16" s="2674"/>
      <c r="P16" s="2674"/>
      <c r="Q16" s="2674"/>
      <c r="R16" s="2674"/>
      <c r="S16" s="2675"/>
      <c r="T16" s="2656"/>
      <c r="U16" s="2657"/>
      <c r="V16" s="2657"/>
      <c r="W16" s="2657"/>
      <c r="X16" s="2657"/>
      <c r="Y16" s="2656"/>
      <c r="Z16" s="2657"/>
      <c r="AA16" s="2657"/>
      <c r="AB16" s="2657"/>
      <c r="AC16" s="2657"/>
      <c r="AD16" s="2657"/>
      <c r="AE16" s="2657"/>
      <c r="AF16" s="2657"/>
      <c r="AG16" s="2657"/>
      <c r="AH16" s="2657"/>
      <c r="AI16" s="2657"/>
      <c r="AJ16" s="2657"/>
      <c r="AK16" s="2657"/>
      <c r="AL16" s="2657"/>
      <c r="AM16" s="2657"/>
    </row>
    <row r="17" spans="1:40" ht="12.95" customHeight="1">
      <c r="B17" s="467"/>
      <c r="C17" s="2674" t="s">
        <v>510</v>
      </c>
      <c r="D17" s="2674"/>
      <c r="E17" s="2674"/>
      <c r="F17" s="2674"/>
      <c r="G17" s="2674"/>
      <c r="H17" s="2674"/>
      <c r="I17" s="2674"/>
      <c r="J17" s="2674"/>
      <c r="K17" s="2674"/>
      <c r="L17" s="2674"/>
      <c r="M17" s="2674"/>
      <c r="N17" s="2674"/>
      <c r="O17" s="2674"/>
      <c r="P17" s="2674"/>
      <c r="Q17" s="2674"/>
      <c r="R17" s="2674"/>
      <c r="S17" s="2675"/>
      <c r="T17" s="2656"/>
      <c r="U17" s="2657"/>
      <c r="V17" s="2657"/>
      <c r="W17" s="2657"/>
      <c r="X17" s="2657"/>
      <c r="Y17" s="2656"/>
      <c r="Z17" s="2657"/>
      <c r="AA17" s="2657"/>
      <c r="AB17" s="2657"/>
      <c r="AC17" s="2657"/>
      <c r="AD17" s="2657"/>
      <c r="AE17" s="2657"/>
      <c r="AF17" s="2657"/>
      <c r="AG17" s="2657"/>
      <c r="AH17" s="2657"/>
      <c r="AI17" s="2657"/>
      <c r="AJ17" s="2657"/>
      <c r="AK17" s="2657"/>
      <c r="AL17" s="2657"/>
      <c r="AM17" s="2657"/>
    </row>
    <row r="18" spans="1:40" ht="12.95" customHeight="1">
      <c r="A18"/>
      <c r="B18" s="1194"/>
      <c r="C18" s="1659" t="s">
        <v>980</v>
      </c>
      <c r="D18" s="1659"/>
      <c r="E18" s="1659"/>
      <c r="F18" s="1659"/>
      <c r="G18" s="1659"/>
      <c r="H18" s="1659"/>
      <c r="I18" s="1659"/>
      <c r="J18" s="1659"/>
      <c r="K18" s="1659"/>
      <c r="L18" s="1659"/>
      <c r="M18" s="1659"/>
      <c r="N18" s="1659"/>
      <c r="O18" s="1659"/>
      <c r="P18" s="1659"/>
      <c r="Q18" s="1659"/>
      <c r="R18" s="1659"/>
      <c r="S18" s="1660"/>
      <c r="T18" s="2656"/>
      <c r="U18" s="2657"/>
      <c r="V18" s="2657"/>
      <c r="W18" s="2657"/>
      <c r="X18" s="2657"/>
      <c r="Y18" s="2656"/>
      <c r="Z18" s="2657"/>
      <c r="AA18" s="2657"/>
      <c r="AB18" s="2657"/>
      <c r="AC18" s="2657"/>
      <c r="AD18" s="2657"/>
      <c r="AE18" s="2657"/>
      <c r="AF18" s="2657"/>
      <c r="AG18" s="2657"/>
      <c r="AH18" s="2657"/>
      <c r="AI18" s="2657"/>
      <c r="AJ18" s="2657"/>
      <c r="AK18" s="2657"/>
      <c r="AL18" s="2657"/>
      <c r="AM18" s="2657"/>
    </row>
    <row r="19" spans="1:40" ht="12.95" customHeight="1">
      <c r="B19" s="1194"/>
      <c r="C19" s="1659" t="s">
        <v>980</v>
      </c>
      <c r="D19" s="1659"/>
      <c r="E19" s="1659"/>
      <c r="F19" s="1659"/>
      <c r="G19" s="1659"/>
      <c r="H19" s="1659"/>
      <c r="I19" s="1659"/>
      <c r="J19" s="1659"/>
      <c r="K19" s="1659"/>
      <c r="L19" s="1659"/>
      <c r="M19" s="1659"/>
      <c r="N19" s="1659"/>
      <c r="O19" s="1659"/>
      <c r="P19" s="1659"/>
      <c r="Q19" s="1659"/>
      <c r="R19" s="1659"/>
      <c r="S19" s="1660"/>
      <c r="T19" s="2656"/>
      <c r="U19" s="2657"/>
      <c r="V19" s="2657"/>
      <c r="W19" s="2657"/>
      <c r="X19" s="2657"/>
      <c r="Y19" s="2656"/>
      <c r="Z19" s="2657"/>
      <c r="AA19" s="2657"/>
      <c r="AB19" s="2657"/>
      <c r="AC19" s="2657"/>
      <c r="AD19" s="2657"/>
      <c r="AE19" s="2657"/>
      <c r="AF19" s="2657"/>
      <c r="AG19" s="2657"/>
      <c r="AH19" s="2657"/>
      <c r="AI19" s="2657"/>
      <c r="AJ19" s="2657"/>
      <c r="AK19" s="2657"/>
      <c r="AL19" s="2657"/>
      <c r="AM19" s="2657"/>
    </row>
    <row r="20" spans="1:40" ht="12.95" customHeight="1">
      <c r="B20" s="2631" t="s">
        <v>511</v>
      </c>
      <c r="C20" s="2632"/>
      <c r="D20" s="2632"/>
      <c r="E20" s="2632"/>
      <c r="F20" s="2632"/>
      <c r="G20" s="2632"/>
      <c r="H20" s="2632"/>
      <c r="I20" s="2632"/>
      <c r="J20" s="2632"/>
      <c r="K20" s="2632"/>
      <c r="L20" s="2632"/>
      <c r="M20" s="2632"/>
      <c r="N20" s="2632"/>
      <c r="O20" s="2632"/>
      <c r="P20" s="2632"/>
      <c r="Q20" s="2632"/>
      <c r="R20" s="2632"/>
      <c r="S20" s="2633"/>
      <c r="T20" s="2647">
        <f>SUM(T13:X19)</f>
        <v>0</v>
      </c>
      <c r="U20" s="2625"/>
      <c r="V20" s="2625"/>
      <c r="W20" s="2625"/>
      <c r="X20" s="2625"/>
      <c r="Y20" s="2647">
        <f>SUM(Y13:AC19)</f>
        <v>0</v>
      </c>
      <c r="Z20" s="2625"/>
      <c r="AA20" s="2625"/>
      <c r="AB20" s="2625"/>
      <c r="AC20" s="2625"/>
      <c r="AD20" s="2635">
        <f>SUM(AD13:AH19)</f>
        <v>0</v>
      </c>
      <c r="AE20" s="2646"/>
      <c r="AF20" s="2646"/>
      <c r="AG20" s="2646"/>
      <c r="AH20" s="2647"/>
      <c r="AI20" s="2635">
        <f>SUM(AI13:AM19)</f>
        <v>0</v>
      </c>
      <c r="AJ20" s="2646"/>
      <c r="AK20" s="2646"/>
      <c r="AL20" s="2646"/>
      <c r="AM20" s="2647"/>
    </row>
    <row r="21" spans="1:40" ht="12.95" customHeight="1">
      <c r="B21" s="2631" t="s">
        <v>1374</v>
      </c>
      <c r="C21" s="2632"/>
      <c r="D21" s="2632"/>
      <c r="E21" s="2632"/>
      <c r="F21" s="2632"/>
      <c r="G21" s="2632"/>
      <c r="H21" s="2632"/>
      <c r="I21" s="2632"/>
      <c r="J21" s="2632"/>
      <c r="K21" s="2632"/>
      <c r="L21" s="2632"/>
      <c r="M21" s="2632"/>
      <c r="N21" s="2632"/>
      <c r="O21" s="2632"/>
      <c r="P21" s="2632"/>
      <c r="Q21" s="2632"/>
      <c r="R21" s="2632"/>
      <c r="S21" s="2633"/>
      <c r="T21" s="2656"/>
      <c r="U21" s="2657"/>
      <c r="V21" s="2657"/>
      <c r="W21" s="2657"/>
      <c r="X21" s="2657"/>
      <c r="Y21" s="2656"/>
      <c r="Z21" s="2657"/>
      <c r="AA21" s="2657"/>
      <c r="AB21" s="2657"/>
      <c r="AC21" s="2657"/>
      <c r="AD21" s="2663"/>
      <c r="AE21" s="2664"/>
      <c r="AF21" s="2664"/>
      <c r="AG21" s="2664"/>
      <c r="AH21" s="2665"/>
      <c r="AI21" s="2663"/>
      <c r="AJ21" s="2664"/>
      <c r="AK21" s="2664"/>
      <c r="AL21" s="2664"/>
      <c r="AM21" s="2665"/>
    </row>
    <row r="22" spans="1:40" ht="12.95" customHeight="1">
      <c r="B22" s="2631" t="s">
        <v>512</v>
      </c>
      <c r="C22" s="2632"/>
      <c r="D22" s="2632"/>
      <c r="E22" s="2632"/>
      <c r="F22" s="2632"/>
      <c r="G22" s="2632"/>
      <c r="H22" s="2632"/>
      <c r="I22" s="2632"/>
      <c r="J22" s="2632"/>
      <c r="K22" s="2632"/>
      <c r="L22" s="2632"/>
      <c r="M22" s="2632"/>
      <c r="N22" s="2632"/>
      <c r="O22" s="2632"/>
      <c r="P22" s="2632"/>
      <c r="Q22" s="2632"/>
      <c r="R22" s="2632"/>
      <c r="S22" s="2633"/>
      <c r="T22" s="2652">
        <f>(ABS(T20)+ABS(T21))*-1</f>
        <v>0</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2.95" customHeight="1">
      <c r="B23" s="2631" t="s">
        <v>513</v>
      </c>
      <c r="C23" s="2632"/>
      <c r="D23" s="2632"/>
      <c r="E23" s="2632"/>
      <c r="F23" s="2632"/>
      <c r="G23" s="2632"/>
      <c r="H23" s="2632"/>
      <c r="I23" s="2632"/>
      <c r="J23" s="2632"/>
      <c r="K23" s="2632"/>
      <c r="L23" s="2632"/>
      <c r="M23" s="2632"/>
      <c r="N23" s="2632"/>
      <c r="O23" s="2632"/>
      <c r="P23" s="2632"/>
      <c r="Q23" s="2632"/>
      <c r="R23" s="2632"/>
      <c r="S23" s="2633"/>
      <c r="T23" s="2647">
        <f>T11+T22</f>
        <v>93730412.480000004</v>
      </c>
      <c r="U23" s="2625"/>
      <c r="V23" s="2625"/>
      <c r="W23" s="2625"/>
      <c r="X23" s="2625"/>
      <c r="Y23" s="2647">
        <f>Y11+Y22</f>
        <v>0</v>
      </c>
      <c r="Z23" s="2625"/>
      <c r="AA23" s="2625"/>
      <c r="AB23" s="2625"/>
      <c r="AC23" s="2625"/>
      <c r="AD23" s="2647">
        <f>AD11+AD22</f>
        <v>0</v>
      </c>
      <c r="AE23" s="2625"/>
      <c r="AF23" s="2625"/>
      <c r="AG23" s="2625"/>
      <c r="AH23" s="2625"/>
      <c r="AI23" s="2647">
        <f>AI11+AI22</f>
        <v>0</v>
      </c>
      <c r="AJ23" s="2625"/>
      <c r="AK23" s="2625"/>
      <c r="AL23" s="2625"/>
      <c r="AM23" s="2625"/>
    </row>
    <row r="24" spans="1:40" ht="12.95" customHeight="1">
      <c r="B24" s="2631" t="s">
        <v>981</v>
      </c>
      <c r="C24" s="2632"/>
      <c r="D24" s="2632"/>
      <c r="E24" s="2632"/>
      <c r="F24" s="2632"/>
      <c r="G24" s="2632"/>
      <c r="H24" s="2632"/>
      <c r="I24" s="2632"/>
      <c r="J24" s="2632"/>
      <c r="K24" s="2632"/>
      <c r="L24" s="2632"/>
      <c r="M24" s="2632"/>
      <c r="N24" s="2632"/>
      <c r="O24" s="2632"/>
      <c r="P24" s="2632"/>
      <c r="Q24" s="2632"/>
      <c r="R24" s="2632"/>
      <c r="S24" s="2633"/>
      <c r="T24" s="2635">
        <f>Application!AJ1052</f>
        <v>151486132</v>
      </c>
      <c r="U24" s="2646"/>
      <c r="V24" s="2646"/>
      <c r="W24" s="2646"/>
      <c r="X24" s="2646"/>
      <c r="Y24" s="2646"/>
      <c r="Z24" s="2646"/>
      <c r="AA24" s="2646"/>
      <c r="AB24" s="2646"/>
      <c r="AC24" s="2646"/>
      <c r="AD24" s="2646"/>
      <c r="AE24" s="2646"/>
      <c r="AF24" s="2646"/>
      <c r="AG24" s="2646"/>
      <c r="AH24" s="2646"/>
      <c r="AI24" s="2646"/>
      <c r="AJ24" s="2646"/>
      <c r="AK24" s="2646"/>
      <c r="AL24" s="2646"/>
      <c r="AM24" s="2647"/>
    </row>
    <row r="25" spans="1:40" ht="12.95" customHeight="1">
      <c r="B25" s="2678" t="s">
        <v>1375</v>
      </c>
      <c r="C25" s="2679"/>
      <c r="D25" s="2679"/>
      <c r="E25" s="2679"/>
      <c r="F25" s="2679"/>
      <c r="G25" s="2679"/>
      <c r="H25" s="2679"/>
      <c r="I25" s="2679"/>
      <c r="J25" s="2679"/>
      <c r="K25" s="2679"/>
      <c r="L25" s="2679"/>
      <c r="M25" s="2679"/>
      <c r="N25" s="2679"/>
      <c r="O25" s="2679"/>
      <c r="P25" s="2679"/>
      <c r="Q25" s="2679"/>
      <c r="R25" s="2679"/>
      <c r="S25" s="2680"/>
      <c r="T25" s="2660">
        <f>IF(OR(Application!T196="yes",Application!T195="yes"),1.3,1)</f>
        <v>1.3</v>
      </c>
      <c r="U25" s="2661"/>
      <c r="V25" s="2661"/>
      <c r="W25" s="2661"/>
      <c r="X25" s="2661"/>
      <c r="Y25" s="2660">
        <v>1</v>
      </c>
      <c r="Z25" s="2661"/>
      <c r="AA25" s="2661"/>
      <c r="AB25" s="2661"/>
      <c r="AC25" s="2661"/>
      <c r="AD25" s="2660">
        <v>1</v>
      </c>
      <c r="AE25" s="2661"/>
      <c r="AF25" s="2661"/>
      <c r="AG25" s="2661"/>
      <c r="AH25" s="2662"/>
      <c r="AI25" s="2660">
        <v>1</v>
      </c>
      <c r="AJ25" s="2661"/>
      <c r="AK25" s="2661"/>
      <c r="AL25" s="2661"/>
      <c r="AM25" s="2662"/>
    </row>
    <row r="26" spans="1:40" ht="12.95" customHeight="1">
      <c r="B26" s="2631" t="s">
        <v>514</v>
      </c>
      <c r="C26" s="2632"/>
      <c r="D26" s="2632"/>
      <c r="E26" s="2632"/>
      <c r="F26" s="2632"/>
      <c r="G26" s="2632"/>
      <c r="H26" s="2632"/>
      <c r="I26" s="2632"/>
      <c r="J26" s="2632"/>
      <c r="K26" s="2632"/>
      <c r="L26" s="2632"/>
      <c r="M26" s="2632"/>
      <c r="N26" s="2632"/>
      <c r="O26" s="2632"/>
      <c r="P26" s="2632"/>
      <c r="Q26" s="2632"/>
      <c r="R26" s="2632"/>
      <c r="S26" s="2633"/>
      <c r="T26" s="2647">
        <f>T23*T25</f>
        <v>121849536.22400001</v>
      </c>
      <c r="U26" s="2625"/>
      <c r="V26" s="2625"/>
      <c r="W26" s="2625"/>
      <c r="X26" s="2625"/>
      <c r="Y26" s="2647">
        <f>Y23*Y25</f>
        <v>0</v>
      </c>
      <c r="Z26" s="2625"/>
      <c r="AA26" s="2625"/>
      <c r="AB26" s="2625"/>
      <c r="AC26" s="2625"/>
      <c r="AD26" s="2647">
        <f>AD23*AD25</f>
        <v>0</v>
      </c>
      <c r="AE26" s="2625"/>
      <c r="AF26" s="2625"/>
      <c r="AG26" s="2625"/>
      <c r="AH26" s="2625"/>
      <c r="AI26" s="2647">
        <f>AI23*AI25</f>
        <v>0</v>
      </c>
      <c r="AJ26" s="2625"/>
      <c r="AK26" s="2625"/>
      <c r="AL26" s="2625"/>
      <c r="AM26" s="2625"/>
    </row>
    <row r="27" spans="1:40" ht="12.95" customHeight="1">
      <c r="A27" s="441"/>
      <c r="B27" s="2681" t="s">
        <v>427</v>
      </c>
      <c r="C27" s="2682"/>
      <c r="D27" s="2682"/>
      <c r="E27" s="2682"/>
      <c r="F27" s="2682"/>
      <c r="G27" s="2682"/>
      <c r="H27" s="2682"/>
      <c r="I27" s="2682"/>
      <c r="J27" s="2682"/>
      <c r="K27" s="2682"/>
      <c r="L27" s="2682"/>
      <c r="M27" s="2682"/>
      <c r="N27" s="2682"/>
      <c r="O27" s="2682"/>
      <c r="P27" s="2682"/>
      <c r="Q27" s="2682"/>
      <c r="R27" s="2682"/>
      <c r="S27" s="2683"/>
      <c r="T27" s="2658">
        <f>Application!$AG$445</f>
        <v>1</v>
      </c>
      <c r="U27" s="2659"/>
      <c r="V27" s="2659"/>
      <c r="W27" s="2659"/>
      <c r="X27" s="2659"/>
      <c r="Y27" s="2658">
        <f>Application!$AG$445</f>
        <v>1</v>
      </c>
      <c r="Z27" s="2659"/>
      <c r="AA27" s="2659"/>
      <c r="AB27" s="2659"/>
      <c r="AC27" s="2659"/>
      <c r="AD27" s="2658">
        <f>Application!$AG$445</f>
        <v>1</v>
      </c>
      <c r="AE27" s="2659"/>
      <c r="AF27" s="2659"/>
      <c r="AG27" s="2659"/>
      <c r="AH27" s="2659"/>
      <c r="AI27" s="2658">
        <f>Application!$AG$445</f>
        <v>1</v>
      </c>
      <c r="AJ27" s="2659"/>
      <c r="AK27" s="2659"/>
      <c r="AL27" s="2659"/>
      <c r="AM27" s="2659"/>
    </row>
    <row r="28" spans="1:40" ht="12.95" customHeight="1">
      <c r="A28" s="435"/>
      <c r="B28" s="2631" t="s">
        <v>515</v>
      </c>
      <c r="C28" s="2632"/>
      <c r="D28" s="2632"/>
      <c r="E28" s="2632"/>
      <c r="F28" s="2632"/>
      <c r="G28" s="2632"/>
      <c r="H28" s="2632"/>
      <c r="I28" s="2632"/>
      <c r="J28" s="2632"/>
      <c r="K28" s="2632"/>
      <c r="L28" s="2632"/>
      <c r="M28" s="2632"/>
      <c r="N28" s="2632"/>
      <c r="O28" s="2632"/>
      <c r="P28" s="2632"/>
      <c r="Q28" s="2632"/>
      <c r="R28" s="2632"/>
      <c r="S28" s="2633"/>
      <c r="T28" s="2647">
        <f>IF(ISERROR((T26*T27)),0,(T26*T27))</f>
        <v>121849536.22400001</v>
      </c>
      <c r="U28" s="2625"/>
      <c r="V28" s="2625"/>
      <c r="W28" s="2625"/>
      <c r="X28" s="2625"/>
      <c r="Y28" s="2647">
        <f>IF(ISERROR((Y26*Y27)),0,(Y26*Y27))</f>
        <v>0</v>
      </c>
      <c r="Z28" s="2625"/>
      <c r="AA28" s="2625"/>
      <c r="AB28" s="2625"/>
      <c r="AC28" s="2625"/>
      <c r="AD28" s="2647">
        <f>IF(ISERROR((AD26*AD27)),0,(AD26*AD27))</f>
        <v>0</v>
      </c>
      <c r="AE28" s="2625"/>
      <c r="AF28" s="2625"/>
      <c r="AG28" s="2625"/>
      <c r="AH28" s="2625"/>
      <c r="AI28" s="2647">
        <f>IF(ISERROR((AI26*AI27)),0,(AI26*AI27))</f>
        <v>0</v>
      </c>
      <c r="AJ28" s="2625"/>
      <c r="AK28" s="2625"/>
      <c r="AL28" s="2625"/>
      <c r="AM28" s="2625"/>
    </row>
    <row r="29" spans="1:40" ht="12.95" customHeight="1">
      <c r="B29" s="2631" t="s">
        <v>532</v>
      </c>
      <c r="C29" s="2632"/>
      <c r="D29" s="2632"/>
      <c r="E29" s="2632"/>
      <c r="F29" s="2632"/>
      <c r="G29" s="2632"/>
      <c r="H29" s="2632"/>
      <c r="I29" s="2632"/>
      <c r="J29" s="2632"/>
      <c r="K29" s="2632"/>
      <c r="L29" s="2632"/>
      <c r="M29" s="2632"/>
      <c r="N29" s="2632"/>
      <c r="O29" s="2632"/>
      <c r="P29" s="2632"/>
      <c r="Q29" s="2632"/>
      <c r="R29" s="2632"/>
      <c r="S29" s="2633"/>
      <c r="T29" s="2635">
        <f>T28+Y28+AD28+AI28</f>
        <v>121849536.22400001</v>
      </c>
      <c r="U29" s="2646"/>
      <c r="V29" s="2646"/>
      <c r="W29" s="2646"/>
      <c r="X29" s="2646"/>
      <c r="Y29" s="2646"/>
      <c r="Z29" s="2646"/>
      <c r="AA29" s="2646"/>
      <c r="AB29" s="2646"/>
      <c r="AC29" s="2646"/>
      <c r="AD29" s="2646"/>
      <c r="AE29" s="2646"/>
      <c r="AF29" s="2646"/>
      <c r="AG29" s="2646"/>
      <c r="AH29" s="2646"/>
      <c r="AI29" s="2646"/>
      <c r="AJ29" s="2646"/>
      <c r="AK29" s="2646"/>
      <c r="AL29" s="2646"/>
      <c r="AM29" s="2647"/>
    </row>
    <row r="30" spans="1:40" ht="12.95" customHeight="1">
      <c r="B30" s="2651" t="s">
        <v>1377</v>
      </c>
      <c r="C30" s="2651"/>
      <c r="D30" s="2651"/>
      <c r="E30" s="2651"/>
      <c r="F30" s="2651"/>
      <c r="G30" s="2651"/>
      <c r="H30" s="2651"/>
      <c r="I30" s="2651"/>
      <c r="J30" s="2651"/>
      <c r="K30" s="2651"/>
      <c r="L30" s="2651"/>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row>
    <row r="31" spans="1:40" ht="12.95" customHeight="1">
      <c r="B31" s="2651" t="s">
        <v>1376</v>
      </c>
      <c r="C31" s="2651"/>
      <c r="D31" s="2651"/>
      <c r="E31" s="2651"/>
      <c r="F31" s="2651"/>
      <c r="G31" s="2651"/>
      <c r="H31" s="2651"/>
      <c r="I31" s="2651"/>
      <c r="J31" s="2651"/>
      <c r="K31" s="2651"/>
      <c r="L31" s="2651"/>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8" t="s">
        <v>1257</v>
      </c>
      <c r="Z35" s="2648"/>
      <c r="AA35" s="2648"/>
      <c r="AB35" s="2648"/>
      <c r="AC35" s="2648"/>
      <c r="AD35" s="2649" t="s">
        <v>370</v>
      </c>
      <c r="AE35" s="2649"/>
      <c r="AF35" s="2649"/>
      <c r="AG35" s="2649"/>
      <c r="AH35" s="2649"/>
    </row>
    <row r="36" spans="1:76" ht="12.95" customHeight="1">
      <c r="B36" s="438"/>
      <c r="X36" s="443"/>
      <c r="Y36" s="2648"/>
      <c r="Z36" s="2648"/>
      <c r="AA36" s="2648"/>
      <c r="AB36" s="2648"/>
      <c r="AC36" s="2648"/>
      <c r="AD36" s="2649"/>
      <c r="AE36" s="2649"/>
      <c r="AF36" s="2649"/>
      <c r="AG36" s="2649"/>
      <c r="AH36" s="264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8"/>
      <c r="Z37" s="2648"/>
      <c r="AA37" s="2648"/>
      <c r="AB37" s="2648"/>
      <c r="AC37" s="2648"/>
      <c r="AD37" s="2649"/>
      <c r="AE37" s="2649"/>
      <c r="AF37" s="2649"/>
      <c r="AG37" s="2649"/>
      <c r="AH37" s="2649"/>
    </row>
    <row r="38" spans="1:76" ht="12.95" customHeight="1">
      <c r="A38" s="435"/>
      <c r="B38" s="2631" t="s">
        <v>515</v>
      </c>
      <c r="C38" s="2632"/>
      <c r="D38" s="2632"/>
      <c r="E38" s="2632"/>
      <c r="F38" s="2632"/>
      <c r="G38" s="2632"/>
      <c r="H38" s="2632"/>
      <c r="I38" s="2632"/>
      <c r="J38" s="2632"/>
      <c r="K38" s="2632"/>
      <c r="L38" s="2632"/>
      <c r="M38" s="2632"/>
      <c r="N38" s="2632"/>
      <c r="O38" s="2632"/>
      <c r="P38" s="2632"/>
      <c r="Q38" s="2632"/>
      <c r="R38" s="2632"/>
      <c r="S38" s="2632"/>
      <c r="T38" s="2632"/>
      <c r="U38" s="2632"/>
      <c r="V38" s="2632"/>
      <c r="W38" s="2632"/>
      <c r="X38" s="2633"/>
      <c r="Y38" s="2625">
        <f>IF(T24&gt;=(T23+Y23+AD23+AI23),T28+Y28,0)</f>
        <v>121849536.22400001</v>
      </c>
      <c r="Z38" s="2625"/>
      <c r="AA38" s="2625"/>
      <c r="AB38" s="2625"/>
      <c r="AC38" s="2625"/>
      <c r="AD38" s="2625">
        <f>IF(T24&gt;=(T23+Y23+AD23+AI23),AD28+AI28,0)</f>
        <v>0</v>
      </c>
      <c r="AE38" s="2625"/>
      <c r="AF38" s="2625"/>
      <c r="AG38" s="2625"/>
      <c r="AH38" s="2625"/>
    </row>
    <row r="39" spans="1:76" ht="12.95" customHeight="1">
      <c r="B39" s="2631" t="s">
        <v>1882</v>
      </c>
      <c r="C39" s="2632"/>
      <c r="D39" s="2632"/>
      <c r="E39" s="2632"/>
      <c r="F39" s="2632"/>
      <c r="G39" s="2632"/>
      <c r="H39" s="2632"/>
      <c r="I39" s="2632"/>
      <c r="J39" s="2632"/>
      <c r="K39" s="2632"/>
      <c r="L39" s="2632"/>
      <c r="M39" s="2632"/>
      <c r="N39" s="2632"/>
      <c r="O39" s="2632"/>
      <c r="P39" s="2632"/>
      <c r="Q39" s="2632"/>
      <c r="R39" s="2632"/>
      <c r="S39" s="2632"/>
      <c r="T39" s="2632"/>
      <c r="U39" s="2632"/>
      <c r="V39" s="2632"/>
      <c r="W39" s="2632"/>
      <c r="X39" s="2633"/>
      <c r="Y39" s="2650">
        <v>0.04</v>
      </c>
      <c r="Z39" s="2650"/>
      <c r="AA39" s="2650"/>
      <c r="AB39" s="2650"/>
      <c r="AC39" s="2650"/>
      <c r="AD39" s="2650">
        <v>0.04</v>
      </c>
      <c r="AE39" s="2650"/>
      <c r="AF39" s="2650"/>
      <c r="AG39" s="2650"/>
      <c r="AH39" s="2650"/>
    </row>
    <row r="40" spans="1:76" ht="12.95" customHeight="1">
      <c r="A40" s="435"/>
      <c r="B40" s="2631" t="s">
        <v>651</v>
      </c>
      <c r="C40" s="2632"/>
      <c r="D40" s="2632"/>
      <c r="E40" s="2632"/>
      <c r="F40" s="2632"/>
      <c r="G40" s="2632"/>
      <c r="H40" s="2632"/>
      <c r="I40" s="2632"/>
      <c r="J40" s="2632"/>
      <c r="K40" s="2632"/>
      <c r="L40" s="2632"/>
      <c r="M40" s="2632"/>
      <c r="N40" s="2632"/>
      <c r="O40" s="2632"/>
      <c r="P40" s="2632"/>
      <c r="Q40" s="2632"/>
      <c r="R40" s="2632"/>
      <c r="S40" s="2632"/>
      <c r="T40" s="2632"/>
      <c r="U40" s="2632"/>
      <c r="V40" s="2632"/>
      <c r="W40" s="2632"/>
      <c r="X40" s="2633"/>
      <c r="Y40" s="2625">
        <f>ROUND(Y38*Y39,0)</f>
        <v>4873981</v>
      </c>
      <c r="Z40" s="2625"/>
      <c r="AA40" s="2625"/>
      <c r="AB40" s="2625"/>
      <c r="AC40" s="2625"/>
      <c r="AD40" s="2647">
        <f>ROUND(AD38*AD39,0)</f>
        <v>0</v>
      </c>
      <c r="AE40" s="2625"/>
      <c r="AF40" s="2625"/>
      <c r="AG40" s="2625"/>
      <c r="AH40" s="2625"/>
    </row>
    <row r="41" spans="1:76" ht="12.95" customHeight="1">
      <c r="B41" s="2631" t="s">
        <v>652</v>
      </c>
      <c r="C41" s="2632"/>
      <c r="D41" s="2632"/>
      <c r="E41" s="2632"/>
      <c r="F41" s="2632"/>
      <c r="G41" s="2632"/>
      <c r="H41" s="2632"/>
      <c r="I41" s="2632"/>
      <c r="J41" s="2632"/>
      <c r="K41" s="2632"/>
      <c r="L41" s="2632"/>
      <c r="M41" s="2632"/>
      <c r="N41" s="2632"/>
      <c r="O41" s="2632"/>
      <c r="P41" s="2632"/>
      <c r="Q41" s="2632"/>
      <c r="R41" s="2632"/>
      <c r="S41" s="2632"/>
      <c r="T41" s="2632"/>
      <c r="U41" s="2632"/>
      <c r="V41" s="2632"/>
      <c r="W41" s="2632"/>
      <c r="X41" s="2633"/>
      <c r="Y41" s="2635">
        <f>Y40+AD40</f>
        <v>4873981</v>
      </c>
      <c r="Z41" s="2646"/>
      <c r="AA41" s="2646"/>
      <c r="AB41" s="2646"/>
      <c r="AC41" s="2646"/>
      <c r="AD41" s="2646"/>
      <c r="AE41" s="2646"/>
      <c r="AF41" s="2646"/>
      <c r="AG41" s="2646"/>
      <c r="AH41" s="264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5" t="s">
        <v>1387</v>
      </c>
      <c r="B44" s="2645"/>
      <c r="C44" s="2645"/>
      <c r="D44" s="2645"/>
      <c r="E44" s="2645"/>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c r="AS44" s="2645"/>
      <c r="AT44" s="2645"/>
      <c r="AU44" s="2645"/>
      <c r="AV44" s="2645"/>
      <c r="AW44" s="2645"/>
      <c r="AX44" s="2645"/>
      <c r="AY44" s="2645"/>
      <c r="AZ44" s="2645"/>
      <c r="BA44" s="2645"/>
      <c r="BB44" s="2645"/>
      <c r="BC44" s="2645"/>
      <c r="BD44" s="2645"/>
      <c r="BE44" s="2645"/>
      <c r="BF44" s="2645"/>
      <c r="BG44" s="2645"/>
      <c r="BH44" s="2645"/>
      <c r="BI44" s="2645"/>
      <c r="BJ44" s="2645"/>
      <c r="BK44" s="2645"/>
      <c r="BL44" s="2645"/>
      <c r="BM44" s="2645"/>
      <c r="BN44" s="2645"/>
      <c r="BO44" s="2645"/>
      <c r="BP44" s="2645"/>
      <c r="BQ44" s="2645"/>
      <c r="BR44" s="2645"/>
      <c r="BS44" s="2645"/>
      <c r="BT44" s="2645"/>
      <c r="BU44" s="2645"/>
      <c r="BV44" s="2645"/>
      <c r="BW44" s="2645"/>
      <c r="BX44" s="2645"/>
    </row>
    <row r="45" spans="1:76" s="218" customFormat="1" ht="12.95" customHeight="1" thickTop="1"/>
    <row r="46" spans="1:76" ht="12.95" customHeight="1">
      <c r="A46" s="435" t="s">
        <v>595</v>
      </c>
      <c r="C46" s="435" t="s">
        <v>283</v>
      </c>
    </row>
    <row r="47" spans="1:76" ht="12.95" customHeight="1">
      <c r="D47" s="435" t="s">
        <v>284</v>
      </c>
      <c r="AB47" s="2639">
        <f>'Sources and Uses Budget'!B105-MAX(IF('Sources and Uses Budget'!B15="",0,'Sources and Uses Budget'!B15),IF(Application!AG394="",0,Application!AG394))</f>
        <v>102656506.58000001</v>
      </c>
      <c r="AC47" s="2640"/>
      <c r="AD47" s="2640"/>
      <c r="AE47" s="2640"/>
      <c r="AF47" s="2641"/>
    </row>
    <row r="48" spans="1:76" ht="12.95" customHeight="1">
      <c r="D48" s="435" t="s">
        <v>21</v>
      </c>
      <c r="AB48" s="2639">
        <f>Application!AO639-MAX(IF('Sources and Uses Budget'!B15="",0,'Sources and Uses Budget'!B15),IF(Application!AG394="",0,Application!AG394))</f>
        <v>37066479.579999998</v>
      </c>
      <c r="AC48" s="2640"/>
      <c r="AD48" s="2640"/>
      <c r="AE48" s="2640"/>
      <c r="AF48" s="2641"/>
    </row>
    <row r="49" spans="1:76" ht="12.95" customHeight="1">
      <c r="D49" s="435" t="s">
        <v>91</v>
      </c>
      <c r="AB49" s="2639">
        <f>AB47-AB48</f>
        <v>65590027.000000015</v>
      </c>
      <c r="AC49" s="2640"/>
      <c r="AD49" s="2640"/>
      <c r="AE49" s="2640"/>
      <c r="AF49" s="2641"/>
    </row>
    <row r="50" spans="1:76" ht="12.95" customHeight="1">
      <c r="D50" s="435" t="s">
        <v>690</v>
      </c>
      <c r="AA50" s="446"/>
      <c r="AB50" s="2627">
        <v>0.92500000000000004</v>
      </c>
      <c r="AC50" s="2628"/>
      <c r="AD50" s="2628"/>
      <c r="AE50" s="2628"/>
      <c r="AF50" s="2629"/>
    </row>
    <row r="51" spans="1:76" s="448" customFormat="1" ht="12.95" customHeight="1">
      <c r="A51" s="433"/>
      <c r="B51" s="433"/>
      <c r="C51" s="433"/>
      <c r="D51" s="433"/>
      <c r="E51" s="2638" t="s">
        <v>2042</v>
      </c>
      <c r="F51" s="2638"/>
      <c r="G51" s="2638"/>
      <c r="H51" s="2638"/>
      <c r="I51" s="2638"/>
      <c r="J51" s="2638"/>
      <c r="K51" s="2638"/>
      <c r="L51" s="2638"/>
      <c r="M51" s="2638"/>
      <c r="N51" s="2638"/>
      <c r="O51" s="2638"/>
      <c r="P51" s="2638"/>
      <c r="Q51" s="2638"/>
      <c r="R51" s="2638"/>
      <c r="S51" s="2638"/>
      <c r="T51" s="2638"/>
      <c r="U51" s="2638"/>
      <c r="V51" s="2638"/>
      <c r="W51" s="2638"/>
      <c r="X51" s="2638"/>
      <c r="Y51" s="2638"/>
      <c r="Z51" s="263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8"/>
      <c r="F52" s="2638"/>
      <c r="G52" s="2638"/>
      <c r="H52" s="2638"/>
      <c r="I52" s="2638"/>
      <c r="J52" s="2638"/>
      <c r="K52" s="2638"/>
      <c r="L52" s="2638"/>
      <c r="M52" s="2638"/>
      <c r="N52" s="2638"/>
      <c r="O52" s="2638"/>
      <c r="P52" s="2638"/>
      <c r="Q52" s="2638"/>
      <c r="R52" s="2638"/>
      <c r="S52" s="2638"/>
      <c r="T52" s="2638"/>
      <c r="U52" s="2638"/>
      <c r="V52" s="2638"/>
      <c r="W52" s="2638"/>
      <c r="X52" s="2638"/>
      <c r="Y52" s="2638"/>
      <c r="Z52" s="263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9">
        <f>ROUND(IF(ISERROR((AB49/AB50)),0,(AB49/AB50)),0)</f>
        <v>70908137</v>
      </c>
      <c r="AC54" s="2640"/>
      <c r="AD54" s="2640"/>
      <c r="AE54" s="2640"/>
      <c r="AF54" s="2641"/>
    </row>
    <row r="55" spans="1:76" ht="12.95" customHeight="1">
      <c r="D55" s="435" t="s">
        <v>334</v>
      </c>
      <c r="AB55" s="2639">
        <f>(AB54/10)</f>
        <v>7090813.7000000002</v>
      </c>
      <c r="AC55" s="2640"/>
      <c r="AD55" s="2640"/>
      <c r="AE55" s="2640"/>
      <c r="AF55" s="2641"/>
    </row>
    <row r="56" spans="1:76" ht="12.95" customHeight="1">
      <c r="D56" s="435" t="s">
        <v>766</v>
      </c>
      <c r="AB56" s="2642">
        <f>(IF((Y41&lt;AB55),Y41,AB55))</f>
        <v>4873981</v>
      </c>
      <c r="AC56" s="2643"/>
      <c r="AD56" s="2643"/>
      <c r="AE56" s="2643"/>
      <c r="AF56" s="2644"/>
    </row>
    <row r="57" spans="1:76" ht="12.95" customHeight="1">
      <c r="D57" s="435" t="s">
        <v>765</v>
      </c>
      <c r="AB57" s="2639">
        <f>ROUND((10*AB56*AB50),0)</f>
        <v>45084324</v>
      </c>
      <c r="AC57" s="2640"/>
      <c r="AD57" s="2640"/>
      <c r="AE57" s="2640"/>
      <c r="AF57" s="2641"/>
    </row>
    <row r="58" spans="1:76" ht="12.95" customHeight="1">
      <c r="D58" s="435"/>
      <c r="AB58" s="454"/>
      <c r="AC58" s="454"/>
      <c r="AD58" s="454"/>
      <c r="AE58" s="454"/>
      <c r="AF58" s="454"/>
    </row>
    <row r="59" spans="1:76" ht="12.95" customHeight="1">
      <c r="D59" s="435" t="s">
        <v>764</v>
      </c>
      <c r="AB59" s="2623">
        <f>AB49-AB57</f>
        <v>20505703.000000015</v>
      </c>
      <c r="AC59" s="2623"/>
      <c r="AD59" s="2623"/>
      <c r="AE59" s="2623"/>
      <c r="AF59" s="2623"/>
    </row>
    <row r="60" spans="1:76" ht="12.95" customHeight="1">
      <c r="D60" s="435"/>
      <c r="AB60" s="454"/>
      <c r="AC60" s="454"/>
      <c r="AD60" s="454"/>
      <c r="AE60" s="454"/>
      <c r="AF60" s="454"/>
    </row>
    <row r="61" spans="1:76" s="218" customFormat="1" ht="12.95" customHeight="1" thickBot="1">
      <c r="A61" s="2645" t="str">
        <f>IF(Application!AP205="yes","Farmworker State Credit", "State Credit" )</f>
        <v>State Credit</v>
      </c>
      <c r="B61" s="2645"/>
      <c r="C61" s="2645"/>
      <c r="D61" s="2645"/>
      <c r="E61" s="2645"/>
      <c r="F61" s="2645"/>
      <c r="G61" s="2645"/>
      <c r="H61" s="2645"/>
      <c r="I61" s="2645"/>
      <c r="J61" s="2645"/>
      <c r="K61" s="2645"/>
      <c r="L61" s="2645"/>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c r="AS61" s="2645"/>
      <c r="AT61" s="2645"/>
      <c r="AU61" s="2645"/>
      <c r="AV61" s="2645"/>
      <c r="AW61" s="2645"/>
      <c r="AX61" s="2645"/>
      <c r="AY61" s="2645"/>
      <c r="AZ61" s="2645"/>
      <c r="BA61" s="2645"/>
      <c r="BB61" s="2645"/>
      <c r="BC61" s="2645"/>
      <c r="BD61" s="2645"/>
      <c r="BE61" s="2645"/>
      <c r="BF61" s="2645"/>
      <c r="BG61" s="2645"/>
      <c r="BH61" s="2645"/>
      <c r="BI61" s="2645"/>
      <c r="BJ61" s="2645"/>
      <c r="BK61" s="2645"/>
      <c r="BL61" s="2645"/>
      <c r="BM61" s="2645"/>
      <c r="BN61" s="2645"/>
      <c r="BO61" s="2645"/>
      <c r="BP61" s="2645"/>
      <c r="BQ61" s="2645"/>
      <c r="BR61" s="2645"/>
      <c r="BS61" s="2645"/>
      <c r="BT61" s="2645"/>
      <c r="BU61" s="2645"/>
      <c r="BV61" s="2645"/>
      <c r="BW61" s="2645"/>
      <c r="BX61" s="2645"/>
    </row>
    <row r="62" spans="1:76" s="218" customFormat="1" ht="12.95" customHeight="1" thickTop="1"/>
    <row r="63" spans="1:76" ht="12.95" customHeight="1">
      <c r="A63" s="435" t="s">
        <v>598</v>
      </c>
      <c r="C63" s="219" t="s">
        <v>1358</v>
      </c>
      <c r="Y63" s="2634" t="s">
        <v>1004</v>
      </c>
      <c r="Z63" s="2634"/>
      <c r="AA63" s="2634"/>
      <c r="AB63" s="2634"/>
      <c r="AC63" s="2634"/>
      <c r="AD63" s="2634" t="s">
        <v>370</v>
      </c>
      <c r="AE63" s="2634"/>
      <c r="AF63" s="2634"/>
      <c r="AG63" s="2634"/>
      <c r="AH63" s="2634"/>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35">
        <f>IF(Application!Z205="(select)",0,((T23*T27)+Y28))</f>
        <v>93730412.480000004</v>
      </c>
      <c r="Z64" s="2636"/>
      <c r="AA64" s="2636"/>
      <c r="AB64" s="2636"/>
      <c r="AC64" s="2637"/>
      <c r="AD64" s="2635">
        <f>IF(AND(OR(Application!D211="At-Risk",Application!D211="At-Risk and Special Needs"),Application!M358="yes"),AD28+AI28,0)</f>
        <v>0</v>
      </c>
      <c r="AE64" s="2636"/>
      <c r="AF64" s="2636"/>
      <c r="AG64" s="2636"/>
      <c r="AH64" s="2637"/>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4">
        <f>IF(Application!AP205="yes",0.75,IF(Application!Z204="15% set-aside",0.13,IF(Application!Z204="15% set-aside with qualifying low value rehab",0.95,0.3)))</f>
        <v>0.3</v>
      </c>
      <c r="Z67" s="2624"/>
      <c r="AA67" s="2624"/>
      <c r="AB67" s="2624"/>
      <c r="AC67" s="2624"/>
      <c r="AD67" s="2624">
        <f>IF(Application!Z204="15% set-aside with qualifying low value rehab", 0.95,0.13)</f>
        <v>0.13</v>
      </c>
      <c r="AE67" s="2624"/>
      <c r="AF67" s="2624"/>
      <c r="AG67" s="2624"/>
      <c r="AH67" s="2624"/>
    </row>
    <row r="68" spans="1:36" ht="12.95" customHeight="1">
      <c r="C68" s="435"/>
      <c r="D68" s="219" t="s">
        <v>1360</v>
      </c>
      <c r="Y68" s="2625">
        <f>ROUND(Y64*Y67,0)</f>
        <v>28119124</v>
      </c>
      <c r="Z68" s="2626"/>
      <c r="AA68" s="2626"/>
      <c r="AB68" s="2626"/>
      <c r="AC68" s="2626"/>
      <c r="AD68" s="2625">
        <f>ROUND(AD64*AD67,0)</f>
        <v>0</v>
      </c>
      <c r="AE68" s="2626"/>
      <c r="AF68" s="2626"/>
      <c r="AG68" s="2626"/>
      <c r="AH68" s="2626"/>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27">
        <v>0.92500000000000004</v>
      </c>
      <c r="AC71" s="2628"/>
      <c r="AD71" s="2628"/>
      <c r="AE71" s="2628"/>
      <c r="AF71" s="2629"/>
    </row>
    <row r="72" spans="1:36" ht="12.95" customHeight="1">
      <c r="A72" s="435"/>
      <c r="C72" s="435"/>
      <c r="D72" s="435"/>
      <c r="E72" s="2630" t="s">
        <v>1362</v>
      </c>
      <c r="F72" s="2630"/>
      <c r="G72" s="2630"/>
      <c r="H72" s="2630"/>
      <c r="I72" s="2630"/>
      <c r="J72" s="2630"/>
      <c r="K72" s="2630"/>
      <c r="L72" s="2630"/>
      <c r="M72" s="2630"/>
      <c r="N72" s="2630"/>
      <c r="O72" s="2630"/>
      <c r="P72" s="2630"/>
      <c r="Q72" s="2630"/>
      <c r="R72" s="2630"/>
      <c r="S72" s="2630"/>
      <c r="T72" s="2630"/>
      <c r="U72" s="2630"/>
      <c r="V72" s="2630"/>
      <c r="W72" s="2630"/>
      <c r="X72" s="2630"/>
      <c r="Y72" s="2630"/>
      <c r="Z72" s="2630"/>
      <c r="AA72" s="2630"/>
      <c r="AB72" s="471"/>
      <c r="AC72" s="471"/>
    </row>
    <row r="73" spans="1:36" ht="12.95" customHeight="1">
      <c r="A73" s="435"/>
      <c r="C73" s="435"/>
      <c r="D73" s="435"/>
      <c r="E73" s="2630"/>
      <c r="F73" s="2630"/>
      <c r="G73" s="2630"/>
      <c r="H73" s="2630"/>
      <c r="I73" s="2630"/>
      <c r="J73" s="2630"/>
      <c r="K73" s="2630"/>
      <c r="L73" s="2630"/>
      <c r="M73" s="2630"/>
      <c r="N73" s="2630"/>
      <c r="O73" s="2630"/>
      <c r="P73" s="2630"/>
      <c r="Q73" s="2630"/>
      <c r="R73" s="2630"/>
      <c r="S73" s="2630"/>
      <c r="T73" s="2630"/>
      <c r="U73" s="2630"/>
      <c r="V73" s="2630"/>
      <c r="W73" s="2630"/>
      <c r="X73" s="2630"/>
      <c r="Y73" s="2630"/>
      <c r="Z73" s="2630"/>
      <c r="AA73" s="2630"/>
      <c r="AB73" s="471"/>
      <c r="AC73" s="471"/>
    </row>
    <row r="74" spans="1:36" ht="12.95" customHeight="1">
      <c r="A74" s="435"/>
      <c r="C74" s="435"/>
      <c r="D74" s="435"/>
      <c r="E74" s="2630"/>
      <c r="F74" s="2630"/>
      <c r="G74" s="2630"/>
      <c r="H74" s="2630"/>
      <c r="I74" s="2630"/>
      <c r="J74" s="2630"/>
      <c r="K74" s="2630"/>
      <c r="L74" s="2630"/>
      <c r="M74" s="2630"/>
      <c r="N74" s="2630"/>
      <c r="O74" s="2630"/>
      <c r="P74" s="2630"/>
      <c r="Q74" s="2630"/>
      <c r="R74" s="2630"/>
      <c r="S74" s="2630"/>
      <c r="T74" s="2630"/>
      <c r="U74" s="2630"/>
      <c r="V74" s="2630"/>
      <c r="W74" s="2630"/>
      <c r="X74" s="2630"/>
      <c r="Y74" s="2630"/>
      <c r="Z74" s="2630"/>
      <c r="AA74" s="2630"/>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8">
        <f>ROUND(IF(ISERROR((AB59/AB71)),0,(AB59/AB71)),0)</f>
        <v>22168328</v>
      </c>
      <c r="AC76" s="2618"/>
      <c r="AD76" s="2618"/>
      <c r="AE76" s="2618"/>
      <c r="AF76" s="2618"/>
    </row>
    <row r="77" spans="1:36" ht="12.95" customHeight="1">
      <c r="C77" s="435"/>
      <c r="D77" s="219" t="s">
        <v>1364</v>
      </c>
      <c r="AB77" s="2619">
        <f>IF((Y68+AD68&lt;AB76),Y68+AD68,AB76)</f>
        <v>22168328</v>
      </c>
      <c r="AC77" s="2620"/>
      <c r="AD77" s="2620"/>
      <c r="AE77" s="2620"/>
      <c r="AF77" s="2621"/>
    </row>
    <row r="78" spans="1:36" ht="12.95" customHeight="1">
      <c r="C78" s="435"/>
      <c r="D78" s="219" t="s">
        <v>1365</v>
      </c>
      <c r="AB78" s="2622">
        <f>AB77*AB71</f>
        <v>20505703.400000002</v>
      </c>
      <c r="AC78" s="2622"/>
      <c r="AD78" s="2622"/>
      <c r="AE78" s="2622"/>
      <c r="AF78" s="2622"/>
    </row>
    <row r="79" spans="1:36" ht="12.95" customHeight="1">
      <c r="C79" s="435"/>
      <c r="D79" s="435"/>
      <c r="AB79" s="456"/>
      <c r="AC79" s="456"/>
      <c r="AD79" s="456"/>
      <c r="AE79" s="456"/>
      <c r="AF79" s="456"/>
    </row>
    <row r="80" spans="1:36" ht="12.95" customHeight="1">
      <c r="D80" s="435" t="s">
        <v>764</v>
      </c>
      <c r="AB80" s="2623">
        <f>AB49-(AB57+AB78)</f>
        <v>-0.39999999105930328</v>
      </c>
      <c r="AC80" s="2623"/>
      <c r="AD80" s="2623"/>
      <c r="AE80" s="2623"/>
      <c r="AF80" s="2623"/>
    </row>
    <row r="81" spans="1:78" ht="12.95" customHeight="1">
      <c r="F81" s="556"/>
      <c r="J81" s="556" t="str">
        <f>IF(AB80&gt;0,"FUNDING GAP MUST NOT EXCEED ZERO","")</f>
        <v/>
      </c>
    </row>
    <row r="82" spans="1:78" ht="12.95" customHeight="1">
      <c r="D82" s="557"/>
    </row>
    <row r="83" spans="1:78" ht="12.95" customHeight="1" thickBot="1">
      <c r="A83" s="2645"/>
      <c r="B83" s="2645"/>
      <c r="C83" s="2645"/>
      <c r="D83" s="2645"/>
      <c r="E83" s="2645"/>
      <c r="F83" s="2645"/>
      <c r="G83" s="2645"/>
      <c r="H83" s="2645"/>
      <c r="I83" s="2645"/>
      <c r="J83" s="2645"/>
      <c r="K83" s="2645"/>
      <c r="L83" s="2645"/>
      <c r="M83" s="2645"/>
      <c r="N83" s="2645"/>
      <c r="O83" s="2645"/>
      <c r="P83" s="2645"/>
      <c r="Q83" s="2645"/>
      <c r="R83" s="2645"/>
      <c r="S83" s="2645"/>
      <c r="T83" s="2645"/>
      <c r="U83" s="2645"/>
      <c r="V83" s="2645"/>
      <c r="W83" s="2645"/>
      <c r="X83" s="2645"/>
      <c r="Y83" s="2645"/>
      <c r="Z83" s="2645"/>
      <c r="AA83" s="2645"/>
      <c r="AB83" s="2645"/>
      <c r="AC83" s="2645"/>
      <c r="AD83" s="2645"/>
      <c r="AE83" s="2645"/>
      <c r="AF83" s="2645"/>
      <c r="AG83" s="2645"/>
      <c r="AH83" s="2645"/>
      <c r="AI83" s="2645"/>
      <c r="AJ83" s="2645"/>
      <c r="AK83" s="2645"/>
      <c r="AL83" s="2645"/>
      <c r="AM83" s="2645"/>
      <c r="AN83" s="2645"/>
      <c r="AO83" s="2645"/>
      <c r="AP83" s="2645"/>
      <c r="AQ83" s="2645"/>
      <c r="AR83" s="2645"/>
      <c r="AS83" s="2645"/>
      <c r="AT83" s="2645"/>
      <c r="AU83" s="2645"/>
      <c r="AV83" s="2645"/>
      <c r="AW83" s="2645"/>
      <c r="AX83" s="2645"/>
      <c r="AY83" s="2645"/>
      <c r="AZ83" s="2645"/>
      <c r="BA83" s="2645"/>
      <c r="BB83" s="2645"/>
      <c r="BC83" s="2645"/>
      <c r="BD83" s="2645"/>
      <c r="BE83" s="2645"/>
      <c r="BF83" s="2645"/>
      <c r="BG83" s="2645"/>
      <c r="BH83" s="2645"/>
      <c r="BI83" s="2645"/>
      <c r="BJ83" s="2645"/>
      <c r="BK83" s="2645"/>
      <c r="BL83" s="2645"/>
      <c r="BM83" s="2645"/>
      <c r="BN83" s="2645"/>
      <c r="BO83" s="2645"/>
      <c r="BP83" s="2645"/>
      <c r="BQ83" s="2645"/>
      <c r="BR83" s="2645"/>
      <c r="BS83" s="2645"/>
      <c r="BT83" s="2645"/>
      <c r="BU83" s="2645"/>
      <c r="BV83" s="2645"/>
      <c r="BW83" s="2645"/>
      <c r="BX83" s="2645"/>
    </row>
    <row r="84" spans="1:78" ht="12.95" customHeight="1" thickTop="1"/>
    <row r="85" spans="1:78" ht="12.95" customHeight="1">
      <c r="A85" s="435"/>
      <c r="C85" s="219"/>
    </row>
    <row r="86" spans="1:78" ht="12.95" customHeight="1">
      <c r="D86" s="219"/>
      <c r="AB86" s="2677"/>
      <c r="AC86" s="2677"/>
      <c r="AD86" s="2677"/>
      <c r="AE86" s="2677"/>
      <c r="AF86" s="2677"/>
    </row>
    <row r="87" spans="1:78" ht="12.95" customHeight="1" thickBot="1">
      <c r="D87" s="219"/>
      <c r="AB87" s="2676"/>
      <c r="AC87" s="2676"/>
      <c r="AD87" s="2676"/>
      <c r="AE87" s="2676"/>
      <c r="AF87" s="267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I4" sqref="I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4" t="s">
        <v>925</v>
      </c>
      <c r="B1" s="2684"/>
      <c r="C1" s="2684"/>
      <c r="D1" s="2684"/>
      <c r="E1" s="2684"/>
      <c r="F1" s="2684"/>
      <c r="G1" s="2684"/>
      <c r="H1" s="2684"/>
      <c r="I1" s="2684"/>
      <c r="J1" s="2684"/>
      <c r="K1" s="218"/>
      <c r="L1" s="218"/>
    </row>
    <row r="2" spans="1:12">
      <c r="A2" s="225"/>
      <c r="B2" s="225"/>
      <c r="C2" s="225"/>
      <c r="D2" s="225"/>
      <c r="E2" s="225"/>
      <c r="F2" s="225"/>
      <c r="G2" s="225"/>
      <c r="H2" s="225"/>
      <c r="I2" s="225"/>
      <c r="J2" s="225"/>
    </row>
    <row r="3" spans="1:12" ht="99.75">
      <c r="A3" s="457" t="s">
        <v>926</v>
      </c>
      <c r="B3" s="457" t="s">
        <v>927</v>
      </c>
      <c r="C3" s="457" t="s">
        <v>2254</v>
      </c>
      <c r="D3" s="1190" t="s">
        <v>928</v>
      </c>
      <c r="E3" s="218"/>
      <c r="F3" s="1190" t="s">
        <v>929</v>
      </c>
      <c r="G3" s="457" t="s">
        <v>930</v>
      </c>
      <c r="H3" s="458"/>
      <c r="I3" s="457" t="s">
        <v>931</v>
      </c>
      <c r="J3" s="457" t="s">
        <v>932</v>
      </c>
      <c r="K3" s="218"/>
      <c r="L3" s="328"/>
    </row>
    <row r="4" spans="1:12">
      <c r="A4" s="459" t="str">
        <f>Application!B718</f>
        <v>1 Bedroom</v>
      </c>
      <c r="B4" s="1121">
        <f>Application!G718</f>
        <v>7</v>
      </c>
      <c r="C4" s="1122" t="s">
        <v>386</v>
      </c>
      <c r="D4" s="459">
        <f>Application!O718</f>
        <v>461</v>
      </c>
      <c r="E4" s="460"/>
      <c r="F4" s="1123">
        <v>1709</v>
      </c>
      <c r="G4" s="459">
        <f>F4*B4</f>
        <v>11963</v>
      </c>
      <c r="H4" s="460"/>
      <c r="I4" s="459">
        <f t="shared" ref="I4:I27" si="0">IF(F4=0,"",(F4-D4))</f>
        <v>1248</v>
      </c>
      <c r="J4" s="459">
        <f t="shared" ref="J4:J27" si="1">IF(F4=0,"",(I4*B4))</f>
        <v>8736</v>
      </c>
      <c r="K4" s="218"/>
      <c r="L4" s="328"/>
    </row>
    <row r="5" spans="1:12">
      <c r="A5" s="459" t="str">
        <f>Application!B719</f>
        <v>2 Bedrooms</v>
      </c>
      <c r="B5" s="1121">
        <f>Application!G719</f>
        <v>5</v>
      </c>
      <c r="C5" s="1122" t="s">
        <v>386</v>
      </c>
      <c r="D5" s="459">
        <f>Application!O719</f>
        <v>538</v>
      </c>
      <c r="E5" s="460"/>
      <c r="F5" s="1123">
        <v>2120</v>
      </c>
      <c r="G5" s="459">
        <f t="shared" ref="G5:G38" si="2">F5*B5</f>
        <v>10600</v>
      </c>
      <c r="H5" s="460"/>
      <c r="I5" s="459">
        <f t="shared" si="0"/>
        <v>1582</v>
      </c>
      <c r="J5" s="459">
        <f t="shared" si="1"/>
        <v>7910</v>
      </c>
      <c r="K5" s="218"/>
      <c r="L5" s="328"/>
    </row>
    <row r="6" spans="1:12">
      <c r="A6" s="459" t="str">
        <f>Application!B720</f>
        <v>3 Bedrooms</v>
      </c>
      <c r="B6" s="1121">
        <f>Application!G720</f>
        <v>4</v>
      </c>
      <c r="C6" s="1122" t="s">
        <v>386</v>
      </c>
      <c r="D6" s="459">
        <f>Application!O720</f>
        <v>610</v>
      </c>
      <c r="E6" s="460"/>
      <c r="F6" s="1123">
        <v>2860</v>
      </c>
      <c r="G6" s="459">
        <f t="shared" si="2"/>
        <v>11440</v>
      </c>
      <c r="H6" s="460"/>
      <c r="I6" s="459">
        <f t="shared" si="0"/>
        <v>2250</v>
      </c>
      <c r="J6" s="459">
        <f t="shared" si="1"/>
        <v>9000</v>
      </c>
      <c r="K6" s="218"/>
      <c r="L6" s="328"/>
    </row>
    <row r="7" spans="1:12">
      <c r="A7" s="459" t="str">
        <f>Application!B721</f>
        <v>4 Bedrooms</v>
      </c>
      <c r="B7" s="1121">
        <f>Application!G721</f>
        <v>2</v>
      </c>
      <c r="C7" s="1122" t="s">
        <v>386</v>
      </c>
      <c r="D7" s="459">
        <f>Application!O721</f>
        <v>666</v>
      </c>
      <c r="E7" s="460"/>
      <c r="F7" s="1123">
        <v>3192</v>
      </c>
      <c r="G7" s="459">
        <f t="shared" si="2"/>
        <v>6384</v>
      </c>
      <c r="H7" s="460"/>
      <c r="I7" s="459">
        <f t="shared" si="0"/>
        <v>2526</v>
      </c>
      <c r="J7" s="459">
        <f t="shared" si="1"/>
        <v>5052</v>
      </c>
      <c r="K7" s="218"/>
      <c r="L7" s="328"/>
    </row>
    <row r="8" spans="1:12">
      <c r="A8" s="459" t="str">
        <f>Application!B722</f>
        <v>1 Bedroom</v>
      </c>
      <c r="B8" s="1121">
        <f>Application!G722</f>
        <v>5</v>
      </c>
      <c r="C8" s="1122" t="s">
        <v>386</v>
      </c>
      <c r="D8" s="459">
        <f>Application!O722</f>
        <v>636</v>
      </c>
      <c r="E8" s="460"/>
      <c r="F8" s="1123">
        <f>F4</f>
        <v>1709</v>
      </c>
      <c r="G8" s="459">
        <f t="shared" si="2"/>
        <v>8545</v>
      </c>
      <c r="H8" s="460"/>
      <c r="I8" s="459">
        <f t="shared" si="0"/>
        <v>1073</v>
      </c>
      <c r="J8" s="459">
        <f t="shared" si="1"/>
        <v>5365</v>
      </c>
      <c r="K8" s="218"/>
      <c r="L8" s="328"/>
    </row>
    <row r="9" spans="1:12">
      <c r="A9" s="459" t="str">
        <f>Application!B723</f>
        <v>1 Bedroom</v>
      </c>
      <c r="B9" s="1121">
        <f>Application!G723</f>
        <v>17</v>
      </c>
      <c r="C9" s="1122"/>
      <c r="D9" s="459">
        <f>Application!O723</f>
        <v>636</v>
      </c>
      <c r="E9" s="460"/>
      <c r="F9" s="1123"/>
      <c r="G9" s="459">
        <f t="shared" si="2"/>
        <v>0</v>
      </c>
      <c r="H9" s="460"/>
      <c r="I9" s="459" t="str">
        <f t="shared" si="0"/>
        <v/>
      </c>
      <c r="J9" s="459" t="str">
        <f t="shared" si="1"/>
        <v/>
      </c>
      <c r="K9" s="218"/>
      <c r="L9" s="328"/>
    </row>
    <row r="10" spans="1:12">
      <c r="A10" s="459" t="str">
        <f>Application!B724</f>
        <v>2 Bedrooms</v>
      </c>
      <c r="B10" s="1121">
        <f>Application!G724</f>
        <v>10</v>
      </c>
      <c r="C10" s="1122" t="s">
        <v>386</v>
      </c>
      <c r="D10" s="459">
        <f>Application!O724</f>
        <v>748</v>
      </c>
      <c r="E10" s="460"/>
      <c r="F10" s="1123">
        <f>F5</f>
        <v>2120</v>
      </c>
      <c r="G10" s="459">
        <f t="shared" si="2"/>
        <v>21200</v>
      </c>
      <c r="H10" s="460"/>
      <c r="I10" s="459">
        <f t="shared" si="0"/>
        <v>1372</v>
      </c>
      <c r="J10" s="459">
        <f t="shared" si="1"/>
        <v>13720</v>
      </c>
      <c r="K10" s="218"/>
      <c r="L10" s="328"/>
    </row>
    <row r="11" spans="1:12">
      <c r="A11" s="459" t="str">
        <f>Application!B725</f>
        <v>3 Bedrooms</v>
      </c>
      <c r="B11" s="1121">
        <f>Application!G725</f>
        <v>8</v>
      </c>
      <c r="C11" s="1122" t="s">
        <v>386</v>
      </c>
      <c r="D11" s="459">
        <f>Application!O725</f>
        <v>852</v>
      </c>
      <c r="E11" s="460"/>
      <c r="F11" s="1123">
        <f>F6</f>
        <v>2860</v>
      </c>
      <c r="G11" s="459">
        <f t="shared" si="2"/>
        <v>22880</v>
      </c>
      <c r="H11" s="460"/>
      <c r="I11" s="459">
        <f t="shared" si="0"/>
        <v>2008</v>
      </c>
      <c r="J11" s="459">
        <f t="shared" si="1"/>
        <v>16064</v>
      </c>
      <c r="K11" s="218"/>
      <c r="L11" s="328"/>
    </row>
    <row r="12" spans="1:12">
      <c r="A12" s="459" t="str">
        <f>Application!B726</f>
        <v>4 Bedrooms</v>
      </c>
      <c r="B12" s="1121">
        <f>Application!G726</f>
        <v>2</v>
      </c>
      <c r="C12" s="1122" t="s">
        <v>386</v>
      </c>
      <c r="D12" s="459">
        <f>Application!O726</f>
        <v>937</v>
      </c>
      <c r="E12" s="460"/>
      <c r="F12" s="1123">
        <f>F7</f>
        <v>3192</v>
      </c>
      <c r="G12" s="459">
        <f t="shared" si="2"/>
        <v>6384</v>
      </c>
      <c r="H12" s="460"/>
      <c r="I12" s="459">
        <f t="shared" si="0"/>
        <v>2255</v>
      </c>
      <c r="J12" s="459">
        <f t="shared" si="1"/>
        <v>4510</v>
      </c>
      <c r="K12" s="218"/>
      <c r="L12" s="328"/>
    </row>
    <row r="13" spans="1:12">
      <c r="A13" s="459" t="str">
        <f>Application!B727</f>
        <v>1 Bedroom</v>
      </c>
      <c r="B13" s="1121">
        <f>Application!G727</f>
        <v>4</v>
      </c>
      <c r="C13" s="1122" t="s">
        <v>386</v>
      </c>
      <c r="D13" s="459">
        <f>Application!O727</f>
        <v>811</v>
      </c>
      <c r="E13" s="460"/>
      <c r="F13" s="1123">
        <f>F4</f>
        <v>1709</v>
      </c>
      <c r="G13" s="459">
        <f t="shared" si="2"/>
        <v>6836</v>
      </c>
      <c r="H13" s="460"/>
      <c r="I13" s="459">
        <f t="shared" si="0"/>
        <v>898</v>
      </c>
      <c r="J13" s="459">
        <f t="shared" si="1"/>
        <v>3592</v>
      </c>
      <c r="K13" s="218"/>
      <c r="L13" s="328"/>
    </row>
    <row r="14" spans="1:12">
      <c r="A14" s="459" t="str">
        <f>Application!B728</f>
        <v>1 Bedroom</v>
      </c>
      <c r="B14" s="1121">
        <f>Application!G728</f>
        <v>20</v>
      </c>
      <c r="C14" s="1122"/>
      <c r="D14" s="459">
        <f>Application!O728</f>
        <v>811</v>
      </c>
      <c r="E14" s="460"/>
      <c r="F14" s="1123"/>
      <c r="G14" s="459">
        <f t="shared" si="2"/>
        <v>0</v>
      </c>
      <c r="H14" s="460"/>
      <c r="I14" s="459" t="str">
        <f t="shared" si="0"/>
        <v/>
      </c>
      <c r="J14" s="459" t="str">
        <f t="shared" si="1"/>
        <v/>
      </c>
      <c r="K14" s="218"/>
      <c r="L14" s="328"/>
    </row>
    <row r="15" spans="1:12">
      <c r="A15" s="459" t="str">
        <f>Application!B729</f>
        <v>2 Bedrooms</v>
      </c>
      <c r="B15" s="1121">
        <f>Application!G729</f>
        <v>8</v>
      </c>
      <c r="C15" s="1122"/>
      <c r="D15" s="459">
        <f>Application!O729</f>
        <v>957</v>
      </c>
      <c r="E15" s="460"/>
      <c r="F15" s="1123"/>
      <c r="G15" s="459">
        <f t="shared" si="2"/>
        <v>0</v>
      </c>
      <c r="H15" s="460"/>
      <c r="I15" s="459" t="str">
        <f t="shared" si="0"/>
        <v/>
      </c>
      <c r="J15" s="459" t="str">
        <f t="shared" si="1"/>
        <v/>
      </c>
      <c r="K15" s="218"/>
      <c r="L15" s="328"/>
    </row>
    <row r="16" spans="1:12">
      <c r="A16" s="459" t="str">
        <f>Application!B730</f>
        <v>2 Bedrooms</v>
      </c>
      <c r="B16" s="1121">
        <f>Application!G730</f>
        <v>7</v>
      </c>
      <c r="C16" s="1122" t="s">
        <v>386</v>
      </c>
      <c r="D16" s="459">
        <f>Application!O730</f>
        <v>957</v>
      </c>
      <c r="E16" s="460"/>
      <c r="F16" s="1123">
        <f>F5</f>
        <v>2120</v>
      </c>
      <c r="G16" s="459">
        <f t="shared" si="2"/>
        <v>14840</v>
      </c>
      <c r="H16" s="460"/>
      <c r="I16" s="459">
        <f t="shared" si="0"/>
        <v>1163</v>
      </c>
      <c r="J16" s="459">
        <f t="shared" si="1"/>
        <v>8141</v>
      </c>
      <c r="K16" s="218"/>
      <c r="L16" s="328"/>
    </row>
    <row r="17" spans="1:12">
      <c r="A17" s="459" t="str">
        <f>Application!B731</f>
        <v>3 Bedrooms</v>
      </c>
      <c r="B17" s="1121">
        <f>Application!G731</f>
        <v>10</v>
      </c>
      <c r="C17" s="1122" t="s">
        <v>386</v>
      </c>
      <c r="D17" s="459">
        <f>Application!O731</f>
        <v>1094</v>
      </c>
      <c r="E17" s="460"/>
      <c r="F17" s="1123">
        <f>F6</f>
        <v>2860</v>
      </c>
      <c r="G17" s="459">
        <f t="shared" si="2"/>
        <v>28600</v>
      </c>
      <c r="H17" s="460"/>
      <c r="I17" s="459">
        <f t="shared" si="0"/>
        <v>1766</v>
      </c>
      <c r="J17" s="459">
        <f t="shared" si="1"/>
        <v>17660</v>
      </c>
      <c r="K17" s="218"/>
      <c r="L17" s="328"/>
    </row>
    <row r="18" spans="1:12">
      <c r="A18" s="459" t="str">
        <f>Application!B732</f>
        <v>4 Bedrooms</v>
      </c>
      <c r="B18" s="1121">
        <f>Application!G732</f>
        <v>4</v>
      </c>
      <c r="C18" s="1122" t="s">
        <v>386</v>
      </c>
      <c r="D18" s="459">
        <f>Application!O732</f>
        <v>1207</v>
      </c>
      <c r="E18" s="460"/>
      <c r="F18" s="1123">
        <f>F7</f>
        <v>3192</v>
      </c>
      <c r="G18" s="459">
        <f t="shared" si="2"/>
        <v>12768</v>
      </c>
      <c r="H18" s="460"/>
      <c r="I18" s="459">
        <f t="shared" si="0"/>
        <v>1985</v>
      </c>
      <c r="J18" s="459">
        <f t="shared" si="1"/>
        <v>7940</v>
      </c>
      <c r="K18" s="218"/>
      <c r="L18" s="328"/>
    </row>
    <row r="19" spans="1:12">
      <c r="A19" s="459" t="str">
        <f>Application!B733</f>
        <v>1 Bedroom</v>
      </c>
      <c r="B19" s="1121">
        <f>Application!G733</f>
        <v>17</v>
      </c>
      <c r="C19" s="1122"/>
      <c r="D19" s="459">
        <f>Application!O733</f>
        <v>986</v>
      </c>
      <c r="E19" s="460"/>
      <c r="F19" s="1123"/>
      <c r="G19" s="459">
        <f t="shared" si="2"/>
        <v>0</v>
      </c>
      <c r="H19" s="460"/>
      <c r="I19" s="459" t="str">
        <f t="shared" si="0"/>
        <v/>
      </c>
      <c r="J19" s="459" t="str">
        <f t="shared" si="1"/>
        <v/>
      </c>
      <c r="K19" s="218"/>
      <c r="L19" s="328"/>
    </row>
    <row r="20" spans="1:12">
      <c r="A20" s="459" t="str">
        <f>Application!B734</f>
        <v>2 Bedrooms</v>
      </c>
      <c r="B20" s="1121">
        <f>Application!G734</f>
        <v>10</v>
      </c>
      <c r="C20" s="1122"/>
      <c r="D20" s="459">
        <f>Application!O734</f>
        <v>1167</v>
      </c>
      <c r="E20" s="460"/>
      <c r="F20" s="1123"/>
      <c r="G20" s="459">
        <f t="shared" si="2"/>
        <v>0</v>
      </c>
      <c r="H20" s="460"/>
      <c r="I20" s="459" t="str">
        <f t="shared" si="0"/>
        <v/>
      </c>
      <c r="J20" s="459" t="str">
        <f t="shared" si="1"/>
        <v/>
      </c>
      <c r="K20" s="218"/>
      <c r="L20" s="328"/>
    </row>
    <row r="21" spans="1:12">
      <c r="A21" s="459" t="str">
        <f>Application!B735</f>
        <v>3 Bedrooms</v>
      </c>
      <c r="B21" s="1121">
        <f>Application!G735</f>
        <v>9</v>
      </c>
      <c r="C21" s="1122"/>
      <c r="D21" s="459">
        <f>Application!O735</f>
        <v>1337</v>
      </c>
      <c r="E21" s="460"/>
      <c r="F21" s="1123"/>
      <c r="G21" s="459">
        <f t="shared" si="2"/>
        <v>0</v>
      </c>
      <c r="H21" s="460"/>
      <c r="I21" s="459" t="str">
        <f t="shared" si="0"/>
        <v/>
      </c>
      <c r="J21" s="459" t="str">
        <f t="shared" si="1"/>
        <v/>
      </c>
      <c r="K21" s="218"/>
      <c r="L21" s="328"/>
    </row>
    <row r="22" spans="1:12">
      <c r="A22" s="459" t="str">
        <f>Application!B736</f>
        <v>1 Bedroom</v>
      </c>
      <c r="B22" s="1121">
        <f>Application!G736</f>
        <v>8</v>
      </c>
      <c r="C22" s="1122"/>
      <c r="D22" s="459">
        <f>Application!O736</f>
        <v>1161</v>
      </c>
      <c r="E22" s="460"/>
      <c r="F22" s="1123"/>
      <c r="G22" s="459">
        <f t="shared" si="2"/>
        <v>0</v>
      </c>
      <c r="H22" s="460"/>
      <c r="I22" s="459" t="str">
        <f t="shared" si="0"/>
        <v/>
      </c>
      <c r="J22" s="459" t="str">
        <f t="shared" si="1"/>
        <v/>
      </c>
      <c r="K22" s="218"/>
      <c r="L22" s="328"/>
    </row>
    <row r="23" spans="1:12">
      <c r="A23" s="459" t="str">
        <f>Application!B737</f>
        <v>2 Bedrooms</v>
      </c>
      <c r="B23" s="1121">
        <f>Application!G737</f>
        <v>8</v>
      </c>
      <c r="C23" s="1122"/>
      <c r="D23" s="459">
        <f>Application!O737</f>
        <v>1377</v>
      </c>
      <c r="E23" s="460"/>
      <c r="F23" s="1123"/>
      <c r="G23" s="459">
        <f t="shared" si="2"/>
        <v>0</v>
      </c>
      <c r="H23" s="460"/>
      <c r="I23" s="459" t="str">
        <f t="shared" si="0"/>
        <v/>
      </c>
      <c r="J23" s="459" t="str">
        <f t="shared" si="1"/>
        <v/>
      </c>
      <c r="K23" s="218"/>
      <c r="L23" s="328"/>
    </row>
    <row r="24" spans="1:12">
      <c r="A24" s="459" t="str">
        <f>Application!B738</f>
        <v>3 Bedrooms</v>
      </c>
      <c r="B24" s="1121">
        <f>Application!G738</f>
        <v>5</v>
      </c>
      <c r="C24" s="1122"/>
      <c r="D24" s="459">
        <f>Application!O738</f>
        <v>1579</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158102</v>
      </c>
      <c r="E40" s="460"/>
      <c r="F40" s="460"/>
      <c r="G40" s="463">
        <f>SUM(G4:G38)*12</f>
        <v>1949280</v>
      </c>
      <c r="H40" s="464"/>
      <c r="I40" s="462"/>
      <c r="J40" s="463">
        <f>SUM(J4:J38)*12</f>
        <v>1292280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70" zoomScaleNormal="70" workbookViewId="0">
      <selection activeCell="E35" sqref="E3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2406</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v>
      </c>
      <c r="E4" s="235">
        <f>Application!Y801</f>
        <v>1897224</v>
      </c>
      <c r="G4" s="235">
        <f>E4*$C$4</f>
        <v>1935168.48</v>
      </c>
      <c r="I4" s="235">
        <f>G4*$C$4</f>
        <v>1973871.8496000001</v>
      </c>
      <c r="K4" s="235">
        <f>I4*$C$4</f>
        <v>2013349.2865920002</v>
      </c>
      <c r="M4" s="235">
        <f>K4*$C$4</f>
        <v>2053616.2723238403</v>
      </c>
      <c r="O4" s="235">
        <f>M4*$C$4</f>
        <v>2094688.5977703172</v>
      </c>
      <c r="Q4" s="235">
        <f>O4*$C$4</f>
        <v>2136582.3697257238</v>
      </c>
      <c r="S4" s="235">
        <f>Q4*$C$4</f>
        <v>2179314.0171202384</v>
      </c>
      <c r="U4" s="235">
        <f>S4*$C$4</f>
        <v>2222900.2974626431</v>
      </c>
      <c r="W4" s="235">
        <f>U4*$C$4</f>
        <v>2267358.3034118959</v>
      </c>
      <c r="Y4" s="235">
        <f>W4*$C$4</f>
        <v>2312705.4694801336</v>
      </c>
      <c r="AA4" s="235">
        <f>Y4*$C$4</f>
        <v>2358959.5788697363</v>
      </c>
      <c r="AC4" s="235">
        <f>AA4*$C$4</f>
        <v>2406138.7704471312</v>
      </c>
      <c r="AE4" s="235">
        <f>AC4*$C$4</f>
        <v>2454261.545856074</v>
      </c>
      <c r="AG4" s="235">
        <f>AE4*$C$4</f>
        <v>2503346.7767731957</v>
      </c>
    </row>
    <row r="5" spans="1:34" s="225" customFormat="1" ht="14.25">
      <c r="B5" s="225" t="s">
        <v>850</v>
      </c>
      <c r="C5" s="254">
        <f>IF(Application!$D$211="Special Needs",0.1,0.05)</f>
        <v>0.05</v>
      </c>
      <c r="E5" s="237">
        <f>-E4*$C$5</f>
        <v>-94861.200000000012</v>
      </c>
      <c r="F5" s="237"/>
      <c r="G5" s="237">
        <f>-G4*$C$5</f>
        <v>-96758.423999999999</v>
      </c>
      <c r="H5" s="237"/>
      <c r="I5" s="237">
        <f>-I4*$C$5</f>
        <v>-98693.592480000007</v>
      </c>
      <c r="J5" s="237"/>
      <c r="K5" s="237">
        <f>-K4*$C$5</f>
        <v>-100667.46432960001</v>
      </c>
      <c r="L5" s="237"/>
      <c r="M5" s="237">
        <f>-M4*$C$5</f>
        <v>-102680.81361619203</v>
      </c>
      <c r="N5" s="237"/>
      <c r="O5" s="237">
        <f>-O4*$C$5</f>
        <v>-104734.42988851586</v>
      </c>
      <c r="P5" s="237"/>
      <c r="Q5" s="237">
        <f>-Q4*$C$5</f>
        <v>-106829.1184862862</v>
      </c>
      <c r="R5" s="237"/>
      <c r="S5" s="237">
        <f>-S4*$C$5</f>
        <v>-108965.70085601193</v>
      </c>
      <c r="T5" s="237"/>
      <c r="U5" s="237">
        <f>-U4*$C$5</f>
        <v>-111145.01487313217</v>
      </c>
      <c r="V5" s="237"/>
      <c r="W5" s="237">
        <f>-W4*$C$5</f>
        <v>-113367.9151705948</v>
      </c>
      <c r="X5" s="237"/>
      <c r="Y5" s="237">
        <f>-Y4*$C$5</f>
        <v>-115635.27347400668</v>
      </c>
      <c r="Z5" s="237"/>
      <c r="AA5" s="237">
        <f>-AA4*$C$5</f>
        <v>-117947.97894348681</v>
      </c>
      <c r="AB5" s="237"/>
      <c r="AC5" s="237">
        <f>-AC4*$C$5</f>
        <v>-120306.93852235656</v>
      </c>
      <c r="AD5" s="237"/>
      <c r="AE5" s="237">
        <f>-AE4*$C$5</f>
        <v>-122713.0772928037</v>
      </c>
      <c r="AF5" s="237"/>
      <c r="AG5" s="237">
        <f>-AG4*$C$5</f>
        <v>-125167.33883865979</v>
      </c>
    </row>
    <row r="6" spans="1:34" s="225" customFormat="1" ht="14.25">
      <c r="A6" s="225" t="s">
        <v>848</v>
      </c>
      <c r="C6" s="253">
        <v>1.02</v>
      </c>
      <c r="E6" s="238">
        <f>Application!Z809</f>
        <v>1292280</v>
      </c>
      <c r="F6" s="238"/>
      <c r="G6" s="238">
        <f>E6*$C$6</f>
        <v>1318125.6000000001</v>
      </c>
      <c r="H6" s="238"/>
      <c r="I6" s="238">
        <f>G6*$C$6</f>
        <v>1344488.1120000002</v>
      </c>
      <c r="J6" s="238"/>
      <c r="K6" s="238">
        <f>I6*$C$6</f>
        <v>1371377.8742400003</v>
      </c>
      <c r="L6" s="238"/>
      <c r="M6" s="238">
        <f>K6*$C$6</f>
        <v>1398805.4317248003</v>
      </c>
      <c r="N6" s="238"/>
      <c r="O6" s="238">
        <f>M6*$C$6</f>
        <v>1426781.5403592964</v>
      </c>
      <c r="P6" s="238"/>
      <c r="Q6" s="238">
        <f>O6*$C$6</f>
        <v>1455317.1711664824</v>
      </c>
      <c r="R6" s="238"/>
      <c r="S6" s="238">
        <f>Q6*$C$6</f>
        <v>1484423.5145898121</v>
      </c>
      <c r="T6" s="238"/>
      <c r="U6" s="238">
        <f>S6*$C$6</f>
        <v>1514111.9848816085</v>
      </c>
      <c r="V6" s="238"/>
      <c r="W6" s="238">
        <f>U6*$C$6</f>
        <v>1544394.2245792407</v>
      </c>
      <c r="X6" s="238"/>
      <c r="Y6" s="238">
        <f>W6*$C$6</f>
        <v>1575282.1090708254</v>
      </c>
      <c r="Z6" s="238"/>
      <c r="AA6" s="238">
        <f>Y6*$C$6</f>
        <v>1606787.7512522419</v>
      </c>
      <c r="AB6" s="238"/>
      <c r="AC6" s="238">
        <f>AA6*$C$6</f>
        <v>1638923.5062772867</v>
      </c>
      <c r="AD6" s="238"/>
      <c r="AE6" s="238">
        <f>AC6*$C$6</f>
        <v>1671701.9764028324</v>
      </c>
      <c r="AF6" s="238"/>
      <c r="AG6" s="238">
        <f>AE6*$C$6</f>
        <v>1705136.0159308892</v>
      </c>
    </row>
    <row r="7" spans="1:34" s="225" customFormat="1" ht="14.25">
      <c r="B7" s="225" t="s">
        <v>850</v>
      </c>
      <c r="C7" s="254">
        <f>IF(Application!$D$211="Special Needs",0.1,0.05)</f>
        <v>0.05</v>
      </c>
      <c r="E7" s="237">
        <f>-E6*$C$7</f>
        <v>-64614</v>
      </c>
      <c r="F7" s="237"/>
      <c r="G7" s="237">
        <f>-G6*$C$7</f>
        <v>-65906.280000000013</v>
      </c>
      <c r="H7" s="237"/>
      <c r="I7" s="237">
        <f>-I6*$C$7</f>
        <v>-67224.405600000013</v>
      </c>
      <c r="J7" s="237"/>
      <c r="K7" s="237">
        <f>-K6*$C$7</f>
        <v>-68568.893712000019</v>
      </c>
      <c r="L7" s="237"/>
      <c r="M7" s="237">
        <f>-M6*$C$7</f>
        <v>-69940.271586240022</v>
      </c>
      <c r="N7" s="237"/>
      <c r="O7" s="237">
        <f>-O6*$C$7</f>
        <v>-71339.077017964824</v>
      </c>
      <c r="P7" s="237"/>
      <c r="Q7" s="237">
        <f>-Q6*$C$7</f>
        <v>-72765.858558324122</v>
      </c>
      <c r="R7" s="237"/>
      <c r="S7" s="237">
        <f>-S6*$C$7</f>
        <v>-74221.175729490613</v>
      </c>
      <c r="T7" s="237"/>
      <c r="U7" s="237">
        <f>-U6*$C$7</f>
        <v>-75705.599244080426</v>
      </c>
      <c r="V7" s="237"/>
      <c r="W7" s="237">
        <f>-W6*$C$7</f>
        <v>-77219.711228962042</v>
      </c>
      <c r="X7" s="237"/>
      <c r="Y7" s="237">
        <f>-Y6*$C$7</f>
        <v>-78764.10545354127</v>
      </c>
      <c r="Z7" s="237"/>
      <c r="AA7" s="237">
        <f>-AA6*$C$7</f>
        <v>-80339.387562612101</v>
      </c>
      <c r="AB7" s="237"/>
      <c r="AC7" s="237">
        <f>-AC6*$C$7</f>
        <v>-81946.17531386434</v>
      </c>
      <c r="AD7" s="237"/>
      <c r="AE7" s="237">
        <f>-AE6*$C$7</f>
        <v>-83585.098820141633</v>
      </c>
      <c r="AF7" s="237"/>
      <c r="AG7" s="237">
        <f>-AG6*$C$7</f>
        <v>-85256.80079654447</v>
      </c>
    </row>
    <row r="8" spans="1:34" s="225" customFormat="1" ht="14.25">
      <c r="A8" s="225" t="s">
        <v>289</v>
      </c>
      <c r="C8" s="253">
        <v>1.02</v>
      </c>
      <c r="E8" s="238">
        <f>Application!Z817</f>
        <v>18576</v>
      </c>
      <c r="F8" s="238"/>
      <c r="G8" s="238">
        <f>E8*$C$8</f>
        <v>18947.52</v>
      </c>
      <c r="H8" s="238"/>
      <c r="I8" s="238">
        <f>G8*$C$8</f>
        <v>19326.470400000002</v>
      </c>
      <c r="J8" s="238"/>
      <c r="K8" s="238">
        <f>I8*$C$8</f>
        <v>19712.999808000004</v>
      </c>
      <c r="L8" s="238"/>
      <c r="M8" s="238">
        <f>K8*$C$8</f>
        <v>20107.259804160003</v>
      </c>
      <c r="N8" s="238"/>
      <c r="O8" s="238">
        <f>M8*$C$8</f>
        <v>20509.405000243205</v>
      </c>
      <c r="P8" s="238"/>
      <c r="Q8" s="238">
        <f>O8*$C$8</f>
        <v>20919.593100248068</v>
      </c>
      <c r="R8" s="238"/>
      <c r="S8" s="238">
        <f>Q8*$C$8</f>
        <v>21337.984962253031</v>
      </c>
      <c r="T8" s="238"/>
      <c r="U8" s="238">
        <f>S8*$C$8</f>
        <v>21764.744661498091</v>
      </c>
      <c r="V8" s="238"/>
      <c r="W8" s="238">
        <f>U8*$C$8</f>
        <v>22200.039554728053</v>
      </c>
      <c r="X8" s="238"/>
      <c r="Y8" s="238">
        <f>W8*$C$8</f>
        <v>22644.040345822614</v>
      </c>
      <c r="Z8" s="238"/>
      <c r="AA8" s="238">
        <f>Y8*$C$8</f>
        <v>23096.921152739065</v>
      </c>
      <c r="AB8" s="238"/>
      <c r="AC8" s="238">
        <f>AA8*$C$8</f>
        <v>23558.859575793846</v>
      </c>
      <c r="AD8" s="238"/>
      <c r="AE8" s="238">
        <f>AC8*$C$8</f>
        <v>24030.036767309724</v>
      </c>
      <c r="AF8" s="238"/>
      <c r="AG8" s="238">
        <f>AE8*$C$8</f>
        <v>24510.637502655918</v>
      </c>
    </row>
    <row r="9" spans="1:34" s="225" customFormat="1" ht="14.25">
      <c r="B9" s="225" t="s">
        <v>850</v>
      </c>
      <c r="C9" s="254">
        <f>IF(Application!$D$211="Special Needs",0.1,0.05)</f>
        <v>0.05</v>
      </c>
      <c r="E9" s="237">
        <f>-E8*$C$9</f>
        <v>-928.80000000000007</v>
      </c>
      <c r="F9" s="237"/>
      <c r="G9" s="237">
        <f>-G8*$C$9</f>
        <v>-947.37600000000009</v>
      </c>
      <c r="H9" s="237"/>
      <c r="I9" s="237">
        <f>-I8*$C$9</f>
        <v>-966.32352000000014</v>
      </c>
      <c r="J9" s="237"/>
      <c r="K9" s="237">
        <f>-K8*$C$9</f>
        <v>-985.64999040000021</v>
      </c>
      <c r="L9" s="237"/>
      <c r="M9" s="237">
        <f>-M8*$C$9</f>
        <v>-1005.3629902080002</v>
      </c>
      <c r="N9" s="237"/>
      <c r="O9" s="237">
        <f>-O8*$C$9</f>
        <v>-1025.4702500121602</v>
      </c>
      <c r="P9" s="237"/>
      <c r="Q9" s="237">
        <f>-Q8*$C$9</f>
        <v>-1045.9796550124036</v>
      </c>
      <c r="R9" s="237"/>
      <c r="S9" s="237">
        <f>-S8*$C$9</f>
        <v>-1066.8992481126515</v>
      </c>
      <c r="T9" s="237"/>
      <c r="U9" s="237">
        <f>-U8*$C$9</f>
        <v>-1088.2372330749047</v>
      </c>
      <c r="V9" s="237"/>
      <c r="W9" s="237">
        <f>-W8*$C$9</f>
        <v>-1110.0019777364028</v>
      </c>
      <c r="X9" s="237"/>
      <c r="Y9" s="237">
        <f>-Y8*$C$9</f>
        <v>-1132.2020172911307</v>
      </c>
      <c r="Z9" s="237"/>
      <c r="AA9" s="237">
        <f>-AA8*$C$9</f>
        <v>-1154.8460576369532</v>
      </c>
      <c r="AB9" s="237"/>
      <c r="AC9" s="237">
        <f>-AC8*$C$9</f>
        <v>-1177.9429787896922</v>
      </c>
      <c r="AD9" s="237"/>
      <c r="AE9" s="237">
        <f>-AE8*$C$9</f>
        <v>-1201.5018383654863</v>
      </c>
      <c r="AF9" s="237"/>
      <c r="AG9" s="237">
        <f>-AG8*$C$9</f>
        <v>-1225.5318751327959</v>
      </c>
    </row>
    <row r="10" spans="1:34" s="225" customFormat="1" ht="14.25">
      <c r="A10" s="1187" t="s">
        <v>2627</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3047676</v>
      </c>
      <c r="G11" s="239">
        <f>SUM(G4:G10)</f>
        <v>3108629.52</v>
      </c>
      <c r="I11" s="239">
        <f>SUM(I4:I10)</f>
        <v>3170802.1103999997</v>
      </c>
      <c r="K11" s="239">
        <f>SUM(K4:K10)</f>
        <v>3234218.1526080007</v>
      </c>
      <c r="M11" s="239">
        <f>SUM(M4:M10)</f>
        <v>3298902.5156601607</v>
      </c>
      <c r="O11" s="239">
        <f>SUM(O4:O10)</f>
        <v>3364880.5659733638</v>
      </c>
      <c r="Q11" s="239">
        <f>SUM(Q4:Q10)</f>
        <v>3432178.1772928312</v>
      </c>
      <c r="S11" s="239">
        <f>SUM(S4:S10)</f>
        <v>3500821.7408386883</v>
      </c>
      <c r="U11" s="239">
        <f>SUM(U4:U10)</f>
        <v>3570838.1756554623</v>
      </c>
      <c r="W11" s="239">
        <f>SUM(W4:W10)</f>
        <v>3642254.9391685715</v>
      </c>
      <c r="Y11" s="239">
        <f>SUM(Y4:Y10)</f>
        <v>3715100.0379519421</v>
      </c>
      <c r="AA11" s="239">
        <f>SUM(AA4:AA10)</f>
        <v>3789402.0387109811</v>
      </c>
      <c r="AC11" s="239">
        <f>SUM(AC4:AC10)</f>
        <v>3865190.0794852008</v>
      </c>
      <c r="AE11" s="239">
        <f>SUM(AE4:AE10)</f>
        <v>3942493.8810749054</v>
      </c>
      <c r="AG11" s="239">
        <f>SUM(AG4:AG10)</f>
        <v>4021343.7586964038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53950</v>
      </c>
      <c r="G15" s="235">
        <f>E15*$C$14</f>
        <v>55568.5</v>
      </c>
      <c r="I15" s="235">
        <f>G15*$C$14</f>
        <v>57235.555</v>
      </c>
      <c r="K15" s="235">
        <f>I15*$C$14</f>
        <v>58952.621650000001</v>
      </c>
      <c r="M15" s="235">
        <f>K15*$C$14</f>
        <v>60721.2002995</v>
      </c>
      <c r="O15" s="235">
        <f>M15*$C$14</f>
        <v>62542.836308484999</v>
      </c>
      <c r="Q15" s="235">
        <f>O15*$C$14</f>
        <v>64419.121397739553</v>
      </c>
      <c r="S15" s="235">
        <f>Q15*$C$14</f>
        <v>66351.695039671744</v>
      </c>
      <c r="U15" s="235">
        <f>S15*$C$14</f>
        <v>68342.245890861901</v>
      </c>
      <c r="W15" s="235">
        <f>U15*$C$14</f>
        <v>70392.513267587754</v>
      </c>
      <c r="Y15" s="235">
        <f>W15*$C$14</f>
        <v>72504.288665615386</v>
      </c>
      <c r="AA15" s="235">
        <f>Y15*$C$14</f>
        <v>74679.417325583854</v>
      </c>
      <c r="AC15" s="235">
        <f>AA15*$C$14</f>
        <v>76919.799845351372</v>
      </c>
      <c r="AE15" s="235">
        <f>AC15*$C$14</f>
        <v>79227.393840711913</v>
      </c>
      <c r="AG15" s="235">
        <f>AE15*$C$14</f>
        <v>81604.21565593328</v>
      </c>
    </row>
    <row r="16" spans="1:34" s="225" customFormat="1" ht="14.25">
      <c r="A16" s="225" t="s">
        <v>345</v>
      </c>
      <c r="C16" s="249"/>
      <c r="E16" s="238">
        <f>Application!W849</f>
        <v>92880</v>
      </c>
      <c r="F16" s="238"/>
      <c r="G16" s="238">
        <f t="shared" ref="G16:AG21" si="0">E16*$C$14</f>
        <v>95666.400000000009</v>
      </c>
      <c r="H16" s="238"/>
      <c r="I16" s="238">
        <f t="shared" si="0"/>
        <v>98536.392000000007</v>
      </c>
      <c r="J16" s="238"/>
      <c r="K16" s="238">
        <f t="shared" si="0"/>
        <v>101492.48376</v>
      </c>
      <c r="L16" s="238"/>
      <c r="M16" s="238">
        <f t="shared" si="0"/>
        <v>104537.25827280001</v>
      </c>
      <c r="N16" s="238"/>
      <c r="O16" s="238">
        <f t="shared" si="0"/>
        <v>107673.37602098401</v>
      </c>
      <c r="P16" s="238"/>
      <c r="Q16" s="238">
        <f t="shared" si="0"/>
        <v>110903.57730161354</v>
      </c>
      <c r="R16" s="238"/>
      <c r="S16" s="238">
        <f t="shared" si="0"/>
        <v>114230.68462066194</v>
      </c>
      <c r="T16" s="238"/>
      <c r="U16" s="238">
        <f t="shared" si="0"/>
        <v>117657.6051592818</v>
      </c>
      <c r="V16" s="238"/>
      <c r="W16" s="238">
        <f t="shared" si="0"/>
        <v>121187.33331406025</v>
      </c>
      <c r="X16" s="238"/>
      <c r="Y16" s="238">
        <f t="shared" si="0"/>
        <v>124822.95331348205</v>
      </c>
      <c r="Z16" s="238"/>
      <c r="AA16" s="238">
        <f t="shared" si="0"/>
        <v>128567.64191288652</v>
      </c>
      <c r="AB16" s="238"/>
      <c r="AC16" s="238">
        <f t="shared" si="0"/>
        <v>132424.67117027313</v>
      </c>
      <c r="AD16" s="238"/>
      <c r="AE16" s="238">
        <f t="shared" si="0"/>
        <v>136397.41130538133</v>
      </c>
      <c r="AF16" s="238"/>
      <c r="AG16" s="238">
        <f t="shared" si="0"/>
        <v>140489.33364454278</v>
      </c>
    </row>
    <row r="17" spans="1:33" s="225" customFormat="1" ht="14.25">
      <c r="A17" s="225" t="s">
        <v>570</v>
      </c>
      <c r="C17" s="249"/>
      <c r="E17" s="238">
        <f>Application!W855</f>
        <v>123300</v>
      </c>
      <c r="F17" s="238"/>
      <c r="G17" s="238">
        <f t="shared" si="0"/>
        <v>126999</v>
      </c>
      <c r="H17" s="238"/>
      <c r="I17" s="238">
        <f t="shared" si="0"/>
        <v>130808.97</v>
      </c>
      <c r="J17" s="238"/>
      <c r="K17" s="238">
        <f t="shared" si="0"/>
        <v>134733.23910000001</v>
      </c>
      <c r="L17" s="238"/>
      <c r="M17" s="238">
        <f t="shared" si="0"/>
        <v>138775.23627300002</v>
      </c>
      <c r="N17" s="238"/>
      <c r="O17" s="238">
        <f t="shared" si="0"/>
        <v>142938.49336119002</v>
      </c>
      <c r="P17" s="238"/>
      <c r="Q17" s="238">
        <f t="shared" si="0"/>
        <v>147226.64816202573</v>
      </c>
      <c r="R17" s="238"/>
      <c r="S17" s="238">
        <f t="shared" si="0"/>
        <v>151643.4476068865</v>
      </c>
      <c r="T17" s="238"/>
      <c r="U17" s="238">
        <f t="shared" si="0"/>
        <v>156192.7510350931</v>
      </c>
      <c r="V17" s="238"/>
      <c r="W17" s="238">
        <f t="shared" si="0"/>
        <v>160878.5335661459</v>
      </c>
      <c r="X17" s="238"/>
      <c r="Y17" s="238">
        <f t="shared" si="0"/>
        <v>165704.88957313029</v>
      </c>
      <c r="Z17" s="238"/>
      <c r="AA17" s="238">
        <f t="shared" si="0"/>
        <v>170676.03626032421</v>
      </c>
      <c r="AB17" s="238"/>
      <c r="AC17" s="238">
        <f t="shared" si="0"/>
        <v>175796.31734813395</v>
      </c>
      <c r="AD17" s="238"/>
      <c r="AE17" s="238">
        <f t="shared" si="0"/>
        <v>181070.20686857798</v>
      </c>
      <c r="AF17" s="238"/>
      <c r="AG17" s="238">
        <f t="shared" si="0"/>
        <v>186502.31307463531</v>
      </c>
    </row>
    <row r="18" spans="1:33" s="225" customFormat="1" ht="14.25">
      <c r="A18" s="225" t="s">
        <v>854</v>
      </c>
      <c r="C18" s="249"/>
      <c r="E18" s="238">
        <f>Application!W862</f>
        <v>342014</v>
      </c>
      <c r="F18" s="238"/>
      <c r="G18" s="238">
        <f t="shared" si="0"/>
        <v>352274.42</v>
      </c>
      <c r="H18" s="238"/>
      <c r="I18" s="238">
        <f t="shared" si="0"/>
        <v>362842.65259999997</v>
      </c>
      <c r="J18" s="238"/>
      <c r="K18" s="238">
        <f t="shared" si="0"/>
        <v>373727.93217799999</v>
      </c>
      <c r="L18" s="238"/>
      <c r="M18" s="238">
        <f t="shared" si="0"/>
        <v>384939.77014333999</v>
      </c>
      <c r="N18" s="238"/>
      <c r="O18" s="238">
        <f t="shared" si="0"/>
        <v>396487.96324764017</v>
      </c>
      <c r="P18" s="238"/>
      <c r="Q18" s="238">
        <f t="shared" si="0"/>
        <v>408382.6021450694</v>
      </c>
      <c r="R18" s="238"/>
      <c r="S18" s="238">
        <f t="shared" si="0"/>
        <v>420634.08020942146</v>
      </c>
      <c r="T18" s="238"/>
      <c r="U18" s="238">
        <f t="shared" si="0"/>
        <v>433253.10261570412</v>
      </c>
      <c r="V18" s="238"/>
      <c r="W18" s="238">
        <f t="shared" si="0"/>
        <v>446250.69569417526</v>
      </c>
      <c r="X18" s="238"/>
      <c r="Y18" s="238">
        <f t="shared" si="0"/>
        <v>459638.21656500053</v>
      </c>
      <c r="Z18" s="238"/>
      <c r="AA18" s="238">
        <f t="shared" si="0"/>
        <v>473427.36306195054</v>
      </c>
      <c r="AB18" s="238"/>
      <c r="AC18" s="238">
        <f t="shared" si="0"/>
        <v>487630.18395380909</v>
      </c>
      <c r="AD18" s="238"/>
      <c r="AE18" s="238">
        <f t="shared" si="0"/>
        <v>502259.08947242337</v>
      </c>
      <c r="AF18" s="238"/>
      <c r="AG18" s="238">
        <f t="shared" si="0"/>
        <v>517326.86215659609</v>
      </c>
    </row>
    <row r="19" spans="1:33" s="225" customFormat="1" ht="14.25">
      <c r="A19" s="225" t="s">
        <v>155</v>
      </c>
      <c r="C19" s="249"/>
      <c r="E19" s="238">
        <f>Application!W863</f>
        <v>91074</v>
      </c>
      <c r="F19" s="238"/>
      <c r="G19" s="238">
        <f t="shared" si="0"/>
        <v>93806.22</v>
      </c>
      <c r="H19" s="238"/>
      <c r="I19" s="238">
        <f t="shared" si="0"/>
        <v>96620.406600000002</v>
      </c>
      <c r="J19" s="238"/>
      <c r="K19" s="238">
        <f t="shared" si="0"/>
        <v>99519.018798000005</v>
      </c>
      <c r="L19" s="238"/>
      <c r="M19" s="238">
        <f t="shared" si="0"/>
        <v>102504.58936194</v>
      </c>
      <c r="N19" s="238"/>
      <c r="O19" s="238">
        <f t="shared" si="0"/>
        <v>105579.7270427982</v>
      </c>
      <c r="P19" s="238"/>
      <c r="Q19" s="238">
        <f t="shared" si="0"/>
        <v>108747.11885408215</v>
      </c>
      <c r="R19" s="238"/>
      <c r="S19" s="238">
        <f t="shared" si="0"/>
        <v>112009.53241970461</v>
      </c>
      <c r="T19" s="238"/>
      <c r="U19" s="238">
        <f t="shared" si="0"/>
        <v>115369.81839229575</v>
      </c>
      <c r="V19" s="238"/>
      <c r="W19" s="238">
        <f t="shared" si="0"/>
        <v>118830.91294406464</v>
      </c>
      <c r="X19" s="238"/>
      <c r="Y19" s="238">
        <f t="shared" si="0"/>
        <v>122395.84033238658</v>
      </c>
      <c r="Z19" s="238"/>
      <c r="AA19" s="238">
        <f t="shared" si="0"/>
        <v>126067.71554235819</v>
      </c>
      <c r="AB19" s="238"/>
      <c r="AC19" s="238">
        <f t="shared" si="0"/>
        <v>129849.74700862894</v>
      </c>
      <c r="AD19" s="238"/>
      <c r="AE19" s="238">
        <f t="shared" si="0"/>
        <v>133745.23941888782</v>
      </c>
      <c r="AF19" s="238"/>
      <c r="AG19" s="238">
        <f t="shared" si="0"/>
        <v>137757.59660145445</v>
      </c>
    </row>
    <row r="20" spans="1:33" s="225" customFormat="1" ht="14.25">
      <c r="A20" s="225" t="s">
        <v>391</v>
      </c>
      <c r="C20" s="249"/>
      <c r="E20" s="238">
        <f>Application!W872</f>
        <v>239530</v>
      </c>
      <c r="F20" s="238"/>
      <c r="G20" s="238">
        <f t="shared" si="0"/>
        <v>246715.9</v>
      </c>
      <c r="H20" s="238"/>
      <c r="I20" s="238">
        <f t="shared" si="0"/>
        <v>254117.37700000001</v>
      </c>
      <c r="J20" s="238"/>
      <c r="K20" s="238">
        <f t="shared" si="0"/>
        <v>261740.89831000002</v>
      </c>
      <c r="L20" s="238"/>
      <c r="M20" s="238">
        <f t="shared" si="0"/>
        <v>269593.12525930005</v>
      </c>
      <c r="N20" s="238"/>
      <c r="O20" s="238">
        <f t="shared" si="0"/>
        <v>277680.91901707905</v>
      </c>
      <c r="P20" s="238"/>
      <c r="Q20" s="238">
        <f t="shared" si="0"/>
        <v>286011.34658759146</v>
      </c>
      <c r="R20" s="238"/>
      <c r="S20" s="238">
        <f t="shared" si="0"/>
        <v>294591.68698521919</v>
      </c>
      <c r="T20" s="238"/>
      <c r="U20" s="238">
        <f t="shared" si="0"/>
        <v>303429.43759477575</v>
      </c>
      <c r="V20" s="238"/>
      <c r="W20" s="238">
        <f t="shared" si="0"/>
        <v>312532.32072261901</v>
      </c>
      <c r="X20" s="238"/>
      <c r="Y20" s="238">
        <f t="shared" si="0"/>
        <v>321908.29034429759</v>
      </c>
      <c r="Z20" s="238"/>
      <c r="AA20" s="238">
        <f t="shared" si="0"/>
        <v>331565.53905462654</v>
      </c>
      <c r="AB20" s="238"/>
      <c r="AC20" s="238">
        <f t="shared" si="0"/>
        <v>341512.50522626535</v>
      </c>
      <c r="AD20" s="238"/>
      <c r="AE20" s="238">
        <f t="shared" si="0"/>
        <v>351757.88038305333</v>
      </c>
      <c r="AF20" s="238"/>
      <c r="AG20" s="238">
        <f t="shared" si="0"/>
        <v>362310.61679454491</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942748</v>
      </c>
      <c r="G22" s="239">
        <f>SUM(G15:G21)</f>
        <v>971030.44000000006</v>
      </c>
      <c r="I22" s="239">
        <f>SUM(I15:I21)</f>
        <v>1000161.3532</v>
      </c>
      <c r="K22" s="239">
        <f>SUM(K15:K21)</f>
        <v>1030166.193796</v>
      </c>
      <c r="M22" s="239">
        <f>SUM(M15:M21)</f>
        <v>1061071.1796098801</v>
      </c>
      <c r="O22" s="239">
        <f>SUM(O15:O21)</f>
        <v>1092903.3149981764</v>
      </c>
      <c r="Q22" s="239">
        <f>SUM(Q15:Q21)</f>
        <v>1125690.414448122</v>
      </c>
      <c r="S22" s="239">
        <f>SUM(S15:S21)</f>
        <v>1159461.1268815654</v>
      </c>
      <c r="U22" s="239">
        <f>SUM(U15:U21)</f>
        <v>1194244.9606880124</v>
      </c>
      <c r="W22" s="239">
        <f>SUM(W15:W21)</f>
        <v>1230072.3095086527</v>
      </c>
      <c r="Y22" s="239">
        <f>SUM(Y15:Y21)</f>
        <v>1266974.4787939123</v>
      </c>
      <c r="AA22" s="239">
        <f>SUM(AA15:AA21)</f>
        <v>1304983.7131577299</v>
      </c>
      <c r="AC22" s="239">
        <f>SUM(AC15:AC21)</f>
        <v>1344133.2245524619</v>
      </c>
      <c r="AE22" s="239">
        <f>SUM(AE15:AE21)</f>
        <v>1384457.2212890356</v>
      </c>
      <c r="AG22" s="239">
        <f>SUM(AG15:AG21)</f>
        <v>1425990.9379277069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v>
      </c>
      <c r="E27" s="238">
        <f>Application!AC888</f>
        <v>115000</v>
      </c>
      <c r="F27" s="238"/>
      <c r="G27" s="238">
        <f>E27*$C$27</f>
        <v>118450</v>
      </c>
      <c r="H27" s="238"/>
      <c r="I27" s="238">
        <f>G27*$C$27</f>
        <v>122003.5</v>
      </c>
      <c r="J27" s="238"/>
      <c r="K27" s="238">
        <f>I27*$C$27</f>
        <v>125663.60500000001</v>
      </c>
      <c r="L27" s="238"/>
      <c r="M27" s="238">
        <f>K27*$C$27</f>
        <v>129433.51315000001</v>
      </c>
      <c r="N27" s="238"/>
      <c r="O27" s="238">
        <f>M27*$C$27</f>
        <v>133316.51854450002</v>
      </c>
      <c r="P27" s="238"/>
      <c r="Q27" s="238">
        <f>O27*$C$27</f>
        <v>137316.01410083502</v>
      </c>
      <c r="R27" s="238"/>
      <c r="S27" s="238">
        <f>Q27*$C$27</f>
        <v>141435.49452386008</v>
      </c>
      <c r="T27" s="238"/>
      <c r="U27" s="238">
        <f>S27*$C$27</f>
        <v>145678.55935957588</v>
      </c>
      <c r="V27" s="238"/>
      <c r="W27" s="238">
        <f>U27*$C$27</f>
        <v>150048.91614036317</v>
      </c>
      <c r="X27" s="238"/>
      <c r="Y27" s="238">
        <f>W27*$C$27</f>
        <v>154550.38362457408</v>
      </c>
      <c r="Z27" s="238"/>
      <c r="AA27" s="238">
        <f>Y27*$C$27</f>
        <v>159186.89513331131</v>
      </c>
      <c r="AB27" s="238"/>
      <c r="AC27" s="238">
        <f>AA27*$C$27</f>
        <v>163962.50198731065</v>
      </c>
      <c r="AD27" s="238"/>
      <c r="AE27" s="238">
        <f>AC27*$C$27</f>
        <v>168881.37704692996</v>
      </c>
      <c r="AF27" s="238"/>
      <c r="AG27" s="238">
        <f>AE27*$C$27</f>
        <v>173947.81835833786</v>
      </c>
    </row>
    <row r="28" spans="1:33" s="225" customFormat="1" ht="14.25">
      <c r="A28" s="225" t="s">
        <v>858</v>
      </c>
      <c r="C28" s="253"/>
      <c r="E28" s="238">
        <f>Application!AC889</f>
        <v>51600</v>
      </c>
      <c r="F28" s="238"/>
      <c r="G28" s="238">
        <f>$E$28</f>
        <v>51600</v>
      </c>
      <c r="H28" s="238"/>
      <c r="I28" s="238">
        <f>$E$28</f>
        <v>51600</v>
      </c>
      <c r="J28" s="238"/>
      <c r="K28" s="238">
        <f>$E$28</f>
        <v>51600</v>
      </c>
      <c r="L28" s="238"/>
      <c r="M28" s="238">
        <f>$E$28</f>
        <v>51600</v>
      </c>
      <c r="N28" s="238"/>
      <c r="O28" s="238">
        <f>$E$28</f>
        <v>51600</v>
      </c>
      <c r="P28" s="238"/>
      <c r="Q28" s="238">
        <f>$E$28</f>
        <v>51600</v>
      </c>
      <c r="R28" s="238"/>
      <c r="S28" s="238">
        <f>$E$28</f>
        <v>51600</v>
      </c>
      <c r="T28" s="238"/>
      <c r="U28" s="238">
        <f>$E$28</f>
        <v>51600</v>
      </c>
      <c r="V28" s="238"/>
      <c r="W28" s="238">
        <f>$E$28</f>
        <v>51600</v>
      </c>
      <c r="X28" s="238"/>
      <c r="Y28" s="238">
        <f>$E$28</f>
        <v>51600</v>
      </c>
      <c r="Z28" s="238"/>
      <c r="AA28" s="238">
        <f>$E$28</f>
        <v>51600</v>
      </c>
      <c r="AB28" s="238"/>
      <c r="AC28" s="238">
        <f>$E$28</f>
        <v>51600</v>
      </c>
      <c r="AD28" s="238"/>
      <c r="AE28" s="238">
        <f>$E$28</f>
        <v>51600</v>
      </c>
      <c r="AF28" s="238"/>
      <c r="AG28" s="238">
        <f>$E$28</f>
        <v>51600</v>
      </c>
    </row>
    <row r="29" spans="1:33" s="225" customFormat="1" ht="14.25">
      <c r="A29" s="225" t="s">
        <v>1870</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34288</v>
      </c>
      <c r="F30" s="238"/>
      <c r="G30" s="238">
        <f>E30*$C$30</f>
        <v>34973.760000000002</v>
      </c>
      <c r="H30" s="238"/>
      <c r="I30" s="238">
        <f>G30*$C$30</f>
        <v>35673.235200000003</v>
      </c>
      <c r="J30" s="238"/>
      <c r="K30" s="238">
        <f>I30*$C$30</f>
        <v>36386.699904000001</v>
      </c>
      <c r="L30" s="238"/>
      <c r="M30" s="238">
        <f>K30*$C$30</f>
        <v>37114.433902080003</v>
      </c>
      <c r="N30" s="238"/>
      <c r="O30" s="238">
        <f>M30*$C$30</f>
        <v>37856.722580121605</v>
      </c>
      <c r="P30" s="238"/>
      <c r="Q30" s="238">
        <f>O30*$C$30</f>
        <v>38613.857031724037</v>
      </c>
      <c r="R30" s="238"/>
      <c r="S30" s="238">
        <f>Q30*$C$30</f>
        <v>39386.134172358521</v>
      </c>
      <c r="T30" s="238"/>
      <c r="U30" s="238">
        <f>S30*$C$30</f>
        <v>40173.856855805694</v>
      </c>
      <c r="V30" s="238"/>
      <c r="W30" s="238">
        <f>U30*$C$30</f>
        <v>40977.333992921805</v>
      </c>
      <c r="X30" s="238"/>
      <c r="Y30" s="238">
        <f>W30*$C$30</f>
        <v>41796.880672780244</v>
      </c>
      <c r="Z30" s="238"/>
      <c r="AA30" s="238">
        <f>Y30*$C$30</f>
        <v>42632.818286235852</v>
      </c>
      <c r="AB30" s="238"/>
      <c r="AC30" s="238">
        <f>AA30*$C$30</f>
        <v>43485.474651960569</v>
      </c>
      <c r="AD30" s="238"/>
      <c r="AE30" s="238">
        <f>AC30*$C$30</f>
        <v>44355.184144999781</v>
      </c>
      <c r="AF30" s="238"/>
      <c r="AG30" s="238">
        <f>AE30*$C$30</f>
        <v>45242.287827899774</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1147636</v>
      </c>
      <c r="G35" s="239">
        <f>SUM(G22:G33)</f>
        <v>1180054.2</v>
      </c>
      <c r="I35" s="239">
        <f>SUM(I22:I33)</f>
        <v>1213438.0884</v>
      </c>
      <c r="K35" s="239">
        <f>SUM(K22:K33)</f>
        <v>1247816.4986999999</v>
      </c>
      <c r="M35" s="239">
        <f>SUM(M22:M33)</f>
        <v>1283219.12666196</v>
      </c>
      <c r="O35" s="239">
        <f>SUM(O22:O33)</f>
        <v>1319676.556122798</v>
      </c>
      <c r="Q35" s="239">
        <f>SUM(Q22:Q33)</f>
        <v>1357220.2855806809</v>
      </c>
      <c r="S35" s="239">
        <f>SUM(S22:S33)</f>
        <v>1395882.755577784</v>
      </c>
      <c r="U35" s="239">
        <f>SUM(U22:U33)</f>
        <v>1435697.376903394</v>
      </c>
      <c r="W35" s="239">
        <f>SUM(W22:W33)</f>
        <v>1476698.5596419375</v>
      </c>
      <c r="Y35" s="239">
        <f>SUM(Y22:Y33)</f>
        <v>1518921.7430912668</v>
      </c>
      <c r="AA35" s="239">
        <f>SUM(AA22:AA33)</f>
        <v>1562403.4265772772</v>
      </c>
      <c r="AC35" s="239">
        <f>SUM(AC22:AC33)</f>
        <v>1607181.2011917331</v>
      </c>
      <c r="AE35" s="239">
        <f>SUM(AE22:AE33)</f>
        <v>1653293.7824809654</v>
      </c>
      <c r="AG35" s="239">
        <f>SUM(AG22:AG33)</f>
        <v>1700781.0441139443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1900040</v>
      </c>
      <c r="G37" s="239">
        <f>G11-G35</f>
        <v>1928575.32</v>
      </c>
      <c r="I37" s="239">
        <f>I11-I35</f>
        <v>1957364.0219999996</v>
      </c>
      <c r="K37" s="239">
        <f>K11-K35</f>
        <v>1986401.6539080008</v>
      </c>
      <c r="M37" s="239">
        <f>M11-M35</f>
        <v>2015683.3889982007</v>
      </c>
      <c r="O37" s="239">
        <f>O11-O35</f>
        <v>2045204.0098505658</v>
      </c>
      <c r="Q37" s="239">
        <f>Q11-Q35</f>
        <v>2074957.8917121503</v>
      </c>
      <c r="S37" s="239">
        <f>S11-S35</f>
        <v>2104938.9852609043</v>
      </c>
      <c r="U37" s="239">
        <f>U11-U35</f>
        <v>2135140.7987520685</v>
      </c>
      <c r="W37" s="239">
        <f>W11-W35</f>
        <v>2165556.3795266338</v>
      </c>
      <c r="Y37" s="239">
        <f>Y11-Y35</f>
        <v>2196178.294860675</v>
      </c>
      <c r="AA37" s="239">
        <f>AA11-AA35</f>
        <v>2226998.6121337041</v>
      </c>
      <c r="AC37" s="239">
        <f>AC11-AC35</f>
        <v>2258008.8782934677</v>
      </c>
      <c r="AE37" s="239">
        <f>AE11-AE35</f>
        <v>2289200.09859394</v>
      </c>
      <c r="AG37" s="239">
        <f>AG11-AG35</f>
        <v>2320562.7145824595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N.A./Perm Loan</v>
      </c>
      <c r="B40" s="242"/>
      <c r="C40" s="236"/>
      <c r="E40" s="238">
        <f>Application!AF627</f>
        <v>1652208.67</v>
      </c>
      <c r="F40" s="238"/>
      <c r="G40" s="238">
        <f>$E$40</f>
        <v>1652208.67</v>
      </c>
      <c r="H40" s="238"/>
      <c r="I40" s="238">
        <f>$E$40</f>
        <v>1652208.67</v>
      </c>
      <c r="J40" s="238"/>
      <c r="K40" s="238">
        <f>$E$40</f>
        <v>1652208.67</v>
      </c>
      <c r="L40" s="238"/>
      <c r="M40" s="238">
        <f>$E$40</f>
        <v>1652208.67</v>
      </c>
      <c r="N40" s="238"/>
      <c r="O40" s="238">
        <f>$E$40</f>
        <v>1652208.67</v>
      </c>
      <c r="P40" s="238"/>
      <c r="Q40" s="238">
        <f>$E$40</f>
        <v>1652208.67</v>
      </c>
      <c r="R40" s="238"/>
      <c r="S40" s="238">
        <f>$E$40</f>
        <v>1652208.67</v>
      </c>
      <c r="T40" s="238"/>
      <c r="U40" s="238">
        <f>$E$40</f>
        <v>1652208.67</v>
      </c>
      <c r="V40" s="238"/>
      <c r="W40" s="238">
        <f>$E$40</f>
        <v>1652208.67</v>
      </c>
      <c r="X40" s="238"/>
      <c r="Y40" s="238">
        <f>$E$40</f>
        <v>1652208.67</v>
      </c>
      <c r="Z40" s="238"/>
      <c r="AA40" s="238">
        <f>$E$40</f>
        <v>1652208.67</v>
      </c>
      <c r="AB40" s="238"/>
      <c r="AC40" s="238">
        <f>$E$40</f>
        <v>1652208.67</v>
      </c>
      <c r="AD40" s="238"/>
      <c r="AE40" s="238">
        <f>$E$40</f>
        <v>1652208.67</v>
      </c>
      <c r="AF40" s="238"/>
      <c r="AG40" s="238">
        <f>$E$40</f>
        <v>1652208.67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1652208.67</v>
      </c>
      <c r="G43" s="239">
        <f>SUM(G40:G42)</f>
        <v>1652208.67</v>
      </c>
      <c r="I43" s="239">
        <f>SUM(I40:I42)</f>
        <v>1652208.67</v>
      </c>
      <c r="K43" s="239">
        <f>SUM(K40:K42)</f>
        <v>1652208.67</v>
      </c>
      <c r="M43" s="239">
        <f>SUM(M40:M42)</f>
        <v>1652208.67</v>
      </c>
      <c r="O43" s="239">
        <f>SUM(O40:O42)</f>
        <v>1652208.67</v>
      </c>
      <c r="Q43" s="239">
        <f>SUM(Q40:Q42)</f>
        <v>1652208.67</v>
      </c>
      <c r="S43" s="239">
        <f>SUM(S40:S42)</f>
        <v>1652208.67</v>
      </c>
      <c r="U43" s="239">
        <f>SUM(U40:U42)</f>
        <v>1652208.67</v>
      </c>
      <c r="W43" s="239">
        <f>SUM(W40:W42)</f>
        <v>1652208.67</v>
      </c>
      <c r="Y43" s="239">
        <f>SUM(Y40:Y42)</f>
        <v>1652208.67</v>
      </c>
      <c r="AA43" s="239">
        <f>SUM(AA40:AA42)</f>
        <v>1652208.67</v>
      </c>
      <c r="AC43" s="239">
        <f>SUM(AC40:AC42)</f>
        <v>1652208.67</v>
      </c>
      <c r="AE43" s="239">
        <f>SUM(AE40:AE42)</f>
        <v>1652208.67</v>
      </c>
      <c r="AG43" s="239">
        <f>SUM(AG40:AG42)</f>
        <v>1652208.67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247831.33000000007</v>
      </c>
      <c r="G45" s="239">
        <f>G37-G43</f>
        <v>276366.65000000014</v>
      </c>
      <c r="I45" s="239">
        <f>I37-I43</f>
        <v>305155.35199999972</v>
      </c>
      <c r="K45" s="239">
        <f>K37-K43</f>
        <v>334192.98390800087</v>
      </c>
      <c r="M45" s="239">
        <f>M37-M43</f>
        <v>363474.71899820073</v>
      </c>
      <c r="O45" s="239">
        <f>O37-O43</f>
        <v>392995.33985056588</v>
      </c>
      <c r="Q45" s="239">
        <f>Q37-Q43</f>
        <v>422749.22171215038</v>
      </c>
      <c r="S45" s="239">
        <f>S37-S43</f>
        <v>452730.31526090438</v>
      </c>
      <c r="U45" s="239">
        <f>U37-U43</f>
        <v>482932.12875206862</v>
      </c>
      <c r="W45" s="239">
        <f>W37-W43</f>
        <v>513347.70952663384</v>
      </c>
      <c r="Y45" s="239">
        <f>Y37-Y43</f>
        <v>543969.62486067507</v>
      </c>
      <c r="AA45" s="239">
        <f>AA37-AA43</f>
        <v>574789.9421337042</v>
      </c>
      <c r="AC45" s="239">
        <f>AC37-AC43</f>
        <v>605800.20829346776</v>
      </c>
      <c r="AE45" s="239">
        <f>AE37-AE43</f>
        <v>636991.4285939401</v>
      </c>
      <c r="AG45" s="239">
        <f>AG37-AG43</f>
        <v>668354.04458245961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7.7252228747412804E-2</v>
      </c>
      <c r="G47" s="243">
        <f>G45/(G4+G6+G8)</f>
        <v>8.4457898829964184E-2</v>
      </c>
      <c r="I47" s="243">
        <f>I45/(I4+I6+I8)</f>
        <v>9.1427208102693253E-2</v>
      </c>
      <c r="K47" s="243">
        <f>K45/(K4+K6+K8)</f>
        <v>9.8163859001468234E-2</v>
      </c>
      <c r="M47" s="243">
        <f>M45/(M4+M6+M8)</f>
        <v>0.1046714722272388</v>
      </c>
      <c r="O47" s="243">
        <f>O45/(O4+O6+O8)</f>
        <v>0.11095358825909453</v>
      </c>
      <c r="Q47" s="243">
        <f>Q45/(Q4+Q6+Q8)</f>
        <v>0.1170136688367731</v>
      </c>
      <c r="S47" s="243">
        <f>S45/(S4+S6+S8)</f>
        <v>0.12285509841321485</v>
      </c>
      <c r="U47" s="243">
        <f>U45/(U4+U6+U8)</f>
        <v>0.12848118557773922</v>
      </c>
      <c r="W47" s="243">
        <f>W45/(W4+W6+W8)</f>
        <v>0.13389516445041225</v>
      </c>
      <c r="Y47" s="243">
        <f>Y45/(Y4+Y6+Y8)</f>
        <v>0.13910019604815985</v>
      </c>
      <c r="AA47" s="243">
        <f>AA45/(AA4+AA6+AA8)</f>
        <v>0.14409936962317299</v>
      </c>
      <c r="AC47" s="243">
        <f>AC45/(AC4+AC6+AC8)</f>
        <v>0.14889570397413565</v>
      </c>
      <c r="AE47" s="243">
        <f>AE45/(AE4+AE6+AE8)</f>
        <v>0.1534921487308063</v>
      </c>
      <c r="AG47" s="243">
        <f>AG45/(AG4+AG6+AG8)</f>
        <v>0.15789158561245792</v>
      </c>
    </row>
    <row r="48" spans="1:33" s="243" customFormat="1" ht="14.25">
      <c r="A48" s="243" t="s">
        <v>864</v>
      </c>
      <c r="C48" s="236"/>
      <c r="E48" s="243">
        <f>E45/E43</f>
        <v>0.15000001785488759</v>
      </c>
      <c r="G48" s="243">
        <f>G45/G43</f>
        <v>0.16727103241747313</v>
      </c>
      <c r="I48" s="243">
        <f>I45/I43</f>
        <v>0.18469540654329078</v>
      </c>
      <c r="K48" s="243">
        <f>K45/K43</f>
        <v>0.20227044560176582</v>
      </c>
      <c r="M48" s="243">
        <f>M45/M43</f>
        <v>0.21999322821505393</v>
      </c>
      <c r="O48" s="243">
        <f>O45/O43</f>
        <v>0.23786059653746153</v>
      </c>
      <c r="Q48" s="243">
        <f>Q45/Q43</f>
        <v>0.25586914618487649</v>
      </c>
      <c r="S48" s="243">
        <f>S45/S43</f>
        <v>0.27401521580255622</v>
      </c>
      <c r="U48" s="243">
        <f>U45/U43</f>
        <v>0.29229487625922496</v>
      </c>
      <c r="W48" s="243">
        <f>W45/W43</f>
        <v>0.31070391945506126</v>
      </c>
      <c r="Y48" s="243">
        <f>Y45/Y43</f>
        <v>0.3292378467307493</v>
      </c>
      <c r="AA48" s="243">
        <f>AA45/AA43</f>
        <v>0.3478918568643658</v>
      </c>
      <c r="AC48" s="243">
        <f>AC45/AC43</f>
        <v>0.36666083364244045</v>
      </c>
      <c r="AE48" s="243">
        <f>AE45/AE43</f>
        <v>0.38553933299111676</v>
      </c>
      <c r="AG48" s="243">
        <f>AG45/AG43</f>
        <v>0.40452156965285724</v>
      </c>
    </row>
    <row r="49" spans="1:35" s="244" customFormat="1" ht="14.25">
      <c r="A49" s="244" t="s">
        <v>862</v>
      </c>
      <c r="C49" s="245"/>
      <c r="E49" s="244">
        <f>E37/E43</f>
        <v>1.1500000178548877</v>
      </c>
      <c r="G49" s="244">
        <f>G37/G43</f>
        <v>1.1672710324174731</v>
      </c>
      <c r="I49" s="244">
        <f>I37/I43</f>
        <v>1.1846954065432909</v>
      </c>
      <c r="K49" s="244">
        <f>K37/K43</f>
        <v>1.2022704456017659</v>
      </c>
      <c r="M49" s="244">
        <f>M37/M43</f>
        <v>1.2199932282150538</v>
      </c>
      <c r="O49" s="244">
        <f>O37/O43</f>
        <v>1.2378605965374616</v>
      </c>
      <c r="Q49" s="244">
        <f>Q37/Q43</f>
        <v>1.2558691461848766</v>
      </c>
      <c r="S49" s="244">
        <f>S37/S43</f>
        <v>1.2740152158025562</v>
      </c>
      <c r="U49" s="244">
        <f>U37/U43</f>
        <v>1.292294876259225</v>
      </c>
      <c r="W49" s="244">
        <f>W37/W43</f>
        <v>1.3107039194550612</v>
      </c>
      <c r="Y49" s="244">
        <f>Y37/Y43</f>
        <v>1.3292378467307493</v>
      </c>
      <c r="AA49" s="244">
        <f>AA37/AA43</f>
        <v>1.3478918568643659</v>
      </c>
      <c r="AC49" s="244">
        <f>AC37/AC43</f>
        <v>1.3666608336424404</v>
      </c>
      <c r="AE49" s="244">
        <f>AE37/AE43</f>
        <v>1.3855393329911168</v>
      </c>
      <c r="AG49" s="244">
        <f>AG37/AG43</f>
        <v>1.4045215696528572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7" t="s">
        <v>1291</v>
      </c>
      <c r="B52" s="2687"/>
      <c r="C52" s="268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f>35000</f>
        <v>35000</v>
      </c>
      <c r="G53" s="995">
        <f>E53*$C$53</f>
        <v>36050</v>
      </c>
      <c r="I53" s="995">
        <f>G53*$C$53</f>
        <v>37131.5</v>
      </c>
      <c r="K53" s="995">
        <f>I53*$C$53</f>
        <v>38245.445</v>
      </c>
      <c r="M53" s="995">
        <f>K53*$C$53</f>
        <v>39392.808349999999</v>
      </c>
      <c r="O53" s="995">
        <f>M53*$C$53</f>
        <v>40574.5926005</v>
      </c>
      <c r="Q53" s="995">
        <f>O53*$C$53</f>
        <v>41791.830378514998</v>
      </c>
      <c r="S53" s="995">
        <f>Q53*$C$53</f>
        <v>43045.585289870447</v>
      </c>
      <c r="U53" s="995">
        <f>S53*$C$53</f>
        <v>44336.952848566565</v>
      </c>
      <c r="W53" s="995">
        <f>U53*$C$53</f>
        <v>45667.061434023562</v>
      </c>
      <c r="Y53" s="995">
        <f>W53*$C$53</f>
        <v>47037.07327704427</v>
      </c>
      <c r="AA53" s="995">
        <f>Y53*$C$53</f>
        <v>48448.185475355596</v>
      </c>
      <c r="AC53" s="995">
        <f>AA53*$C$53</f>
        <v>49901.631039616266</v>
      </c>
      <c r="AE53" s="995">
        <f>AC53*$C$53</f>
        <v>51398.679970804755</v>
      </c>
      <c r="AG53" s="995">
        <f>AE53*$C$53</f>
        <v>52940.6403699289</v>
      </c>
    </row>
    <row r="54" spans="1:35" s="3" customFormat="1">
      <c r="A54" s="3" t="s">
        <v>867</v>
      </c>
      <c r="C54" s="993">
        <v>1.03</v>
      </c>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40000</v>
      </c>
      <c r="F58" s="995"/>
      <c r="G58" s="995">
        <f>SUM(G53:G57)</f>
        <v>41200</v>
      </c>
      <c r="H58" s="995"/>
      <c r="I58" s="995">
        <f>SUM(I53:I57)</f>
        <v>42436</v>
      </c>
      <c r="J58" s="995"/>
      <c r="K58" s="995">
        <f>SUM(K53:K57)</f>
        <v>43709.08</v>
      </c>
      <c r="L58" s="995"/>
      <c r="M58" s="995">
        <f>SUM(M53:M57)</f>
        <v>45020.352400000003</v>
      </c>
      <c r="N58" s="995"/>
      <c r="O58" s="995">
        <f>SUM(O53:O57)</f>
        <v>46370.962972000001</v>
      </c>
      <c r="P58" s="995"/>
      <c r="Q58" s="995">
        <f>SUM(Q53:Q57)</f>
        <v>47762.091861159999</v>
      </c>
      <c r="R58" s="995"/>
      <c r="S58" s="995">
        <f>SUM(S53:S57)</f>
        <v>49194.954616994801</v>
      </c>
      <c r="T58" s="995"/>
      <c r="U58" s="995">
        <f>SUM(U53:U57)</f>
        <v>50670.803255504645</v>
      </c>
      <c r="V58" s="995"/>
      <c r="W58" s="995">
        <f>SUM(W53:W57)</f>
        <v>52190.927353169784</v>
      </c>
      <c r="X58" s="995"/>
      <c r="Y58" s="995">
        <f>SUM(Y53:Y57)</f>
        <v>53756.655173764877</v>
      </c>
      <c r="Z58" s="995"/>
      <c r="AA58" s="995">
        <f>SUM(AA53:AA57)</f>
        <v>55369.354828977826</v>
      </c>
      <c r="AB58" s="995"/>
      <c r="AC58" s="995">
        <f>SUM(AC53:AC57)</f>
        <v>57030.435473847159</v>
      </c>
      <c r="AD58" s="995"/>
      <c r="AE58" s="995">
        <f>SUM(AE53:AE57)</f>
        <v>58741.348538062579</v>
      </c>
      <c r="AF58" s="995"/>
      <c r="AG58" s="995">
        <f>SUM(AG53:AG57)</f>
        <v>60503.58899420446</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207831.33000000007</v>
      </c>
      <c r="G60" s="997">
        <f>G45-G58</f>
        <v>235166.65000000014</v>
      </c>
      <c r="I60" s="997">
        <f>I45-I58</f>
        <v>262719.35199999972</v>
      </c>
      <c r="K60" s="997">
        <f>K45-K58</f>
        <v>290483.90390800085</v>
      </c>
      <c r="M60" s="997">
        <f>M45-M58</f>
        <v>318454.36659820075</v>
      </c>
      <c r="O60" s="997">
        <f>O45-O58</f>
        <v>346624.37687856588</v>
      </c>
      <c r="Q60" s="997">
        <f>Q45-Q58</f>
        <v>374987.12985099037</v>
      </c>
      <c r="S60" s="997">
        <f>S45-S58</f>
        <v>403535.36064390955</v>
      </c>
      <c r="U60" s="997">
        <f>U45-U58</f>
        <v>432261.32549656398</v>
      </c>
      <c r="W60" s="997">
        <f>W45-W58</f>
        <v>461156.78217346407</v>
      </c>
      <c r="Y60" s="997">
        <f>Y45-Y58</f>
        <v>490212.96968691022</v>
      </c>
      <c r="AA60" s="997">
        <f>AA45-AA58</f>
        <v>519420.58730472636</v>
      </c>
      <c r="AC60" s="997">
        <f>AC45-AC58</f>
        <v>548769.77281962056</v>
      </c>
      <c r="AE60" s="997">
        <f>AE45-AE58</f>
        <v>578250.08005587757</v>
      </c>
      <c r="AG60" s="997">
        <f>AG45-AG58</f>
        <v>607850.45558825519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207831.33000000007</v>
      </c>
      <c r="G62" s="997">
        <f>G60*$C$62</f>
        <v>235166.65000000014</v>
      </c>
      <c r="I62" s="997">
        <f>I60*$C$62</f>
        <v>262719.35199999972</v>
      </c>
      <c r="K62" s="997">
        <f>K60*$C$62</f>
        <v>290483.90390800085</v>
      </c>
      <c r="M62" s="997">
        <f>M60*$C$62</f>
        <v>318454.36659820075</v>
      </c>
      <c r="O62" s="997">
        <f>O60*$C$62</f>
        <v>346624.37687856588</v>
      </c>
      <c r="Q62" s="997">
        <f>Q60*$C$62</f>
        <v>374987.12985099037</v>
      </c>
      <c r="S62" s="997">
        <f>S60*$C$62</f>
        <v>403535.36064390955</v>
      </c>
      <c r="U62" s="997">
        <f>U60*$C$62</f>
        <v>432261.32549656398</v>
      </c>
      <c r="W62" s="997">
        <f>W60*$C$62</f>
        <v>461156.78217346407</v>
      </c>
      <c r="Y62" s="997">
        <f>Y60*$C$62</f>
        <v>490212.96968691022</v>
      </c>
      <c r="AA62" s="997">
        <f>AA60*$C$62</f>
        <v>519420.58730472636</v>
      </c>
      <c r="AC62" s="997">
        <f>AC60*$C$62</f>
        <v>548769.77281962056</v>
      </c>
      <c r="AE62" s="997">
        <f>AE60*$C$62</f>
        <v>578250.08005587757</v>
      </c>
      <c r="AG62" s="997">
        <f>AG60*$C$62</f>
        <v>607850.45558825519</v>
      </c>
    </row>
    <row r="63" spans="1:35" s="997" customFormat="1">
      <c r="A63" s="2687" t="s">
        <v>2780</v>
      </c>
      <c r="B63" s="2687"/>
      <c r="C63" s="268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(E60-E62)*C65</f>
        <v>0</v>
      </c>
      <c r="G66" s="997">
        <f>(G60-G62)*$C$65</f>
        <v>0</v>
      </c>
      <c r="I66" s="997">
        <f>(I60-I62)*$C$65</f>
        <v>0</v>
      </c>
      <c r="K66" s="997">
        <f>(K60-K62)*$C$65</f>
        <v>0</v>
      </c>
      <c r="M66" s="997">
        <f>(M60-M62)*$C$65</f>
        <v>0</v>
      </c>
      <c r="O66" s="997">
        <f>(O60-O62)*$C$65</f>
        <v>0</v>
      </c>
      <c r="Q66" s="997">
        <f>(Q60-Q62)*$C$65</f>
        <v>0</v>
      </c>
      <c r="S66" s="997">
        <f>(S60-S62)*$C$65</f>
        <v>0</v>
      </c>
      <c r="U66" s="997">
        <f>(U60-U62)*$C$65</f>
        <v>0</v>
      </c>
      <c r="W66" s="997">
        <f>(W60-W62)*$C$65</f>
        <v>0</v>
      </c>
      <c r="Y66" s="997">
        <f>(Y60-Y62)*$C$65</f>
        <v>0</v>
      </c>
      <c r="AA66" s="997">
        <f>(AA60-AA62)*$C$65</f>
        <v>0</v>
      </c>
      <c r="AC66" s="997">
        <f>(AC60-AC62)*$C$65</f>
        <v>0</v>
      </c>
      <c r="AE66" s="997">
        <f>(AE60-AE62)*$C$65</f>
        <v>0</v>
      </c>
      <c r="AG66" s="997">
        <f>(AG60-AG62)*$C$65</f>
        <v>0</v>
      </c>
    </row>
    <row r="67" spans="1:35" s="995" customFormat="1">
      <c r="A67" s="1000"/>
      <c r="B67" s="1000"/>
      <c r="C67" s="1005"/>
      <c r="E67" s="999">
        <f>(E60-E62)*C65</f>
        <v>0</v>
      </c>
      <c r="G67" s="997">
        <f>(G60-G62)*$C$65</f>
        <v>0</v>
      </c>
      <c r="I67" s="997">
        <f>(I60-I62)*$C$65</f>
        <v>0</v>
      </c>
      <c r="K67" s="997">
        <f>(K60-K62)*$C$65</f>
        <v>0</v>
      </c>
      <c r="M67" s="997">
        <f>(M60-M62)*$C$65</f>
        <v>0</v>
      </c>
      <c r="O67" s="997">
        <f>(O60-O62)*$C$65</f>
        <v>0</v>
      </c>
      <c r="Q67" s="997">
        <f>(Q60-Q62)*$C$65</f>
        <v>0</v>
      </c>
      <c r="S67" s="997">
        <f>(S60-S62)*$C$65</f>
        <v>0</v>
      </c>
      <c r="U67" s="997">
        <f>(U60-U62)*$C$65</f>
        <v>0</v>
      </c>
      <c r="W67" s="997">
        <f>(W60-W62)*$C$65</f>
        <v>0</v>
      </c>
      <c r="Y67" s="997">
        <f>(Y60-Y62)*$C$65</f>
        <v>0</v>
      </c>
      <c r="AA67" s="997">
        <f>(AA60-AA62)*$C$65</f>
        <v>0</v>
      </c>
      <c r="AC67" s="997">
        <f>(AC60-AC62)*$C$65</f>
        <v>0</v>
      </c>
      <c r="AE67" s="997">
        <f>(AE60-AE62)*$C$65</f>
        <v>0</v>
      </c>
      <c r="AG67" s="997">
        <f>(AG60-AG62)*$C$65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85" t="s">
        <v>1912</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9" firstPageNumber="47" fitToHeight="0"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80"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4560130</v>
      </c>
      <c r="C5" s="286">
        <f>'Sources and Uses Budget'!$C4</f>
        <v>4560130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4560130</v>
      </c>
      <c r="C9" s="290">
        <f>SUM(C5:C8)</f>
        <v>4560130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4560130</v>
      </c>
      <c r="C13" s="290">
        <f>SUM(C9+C12)</f>
        <v>4560130</v>
      </c>
      <c r="D13" s="290">
        <f t="shared" si="0"/>
        <v>0</v>
      </c>
      <c r="E13" s="288"/>
      <c r="F13" s="287"/>
      <c r="G13" s="383"/>
    </row>
    <row r="14" spans="1:7" s="380" customFormat="1">
      <c r="A14" s="397" t="s">
        <v>918</v>
      </c>
      <c r="B14" s="286">
        <f>'Sources and Uses Budget'!$C13</f>
        <v>210341</v>
      </c>
      <c r="C14" s="286">
        <f>'Sources and Uses Budget'!$C13</f>
        <v>210341</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8603769</v>
      </c>
      <c r="C30" s="286">
        <f>'Sources and Uses Budget'!$C29</f>
        <v>8603769</v>
      </c>
      <c r="D30" s="290">
        <f t="shared" si="0"/>
        <v>0</v>
      </c>
      <c r="E30" s="288"/>
      <c r="F30" s="287"/>
      <c r="G30" s="383"/>
    </row>
    <row r="31" spans="1:7" s="380" customFormat="1">
      <c r="A31" s="145" t="s">
        <v>608</v>
      </c>
      <c r="B31" s="286">
        <f>'Sources and Uses Budget'!$C30</f>
        <v>29327161</v>
      </c>
      <c r="C31" s="286">
        <f>'Sources and Uses Budget'!$C30</f>
        <v>29327161</v>
      </c>
      <c r="D31" s="290">
        <f t="shared" si="0"/>
        <v>0</v>
      </c>
      <c r="E31" s="288"/>
      <c r="F31" s="287"/>
      <c r="G31" s="383"/>
    </row>
    <row r="32" spans="1:7" s="380" customFormat="1">
      <c r="A32" s="145" t="s">
        <v>609</v>
      </c>
      <c r="B32" s="286">
        <f>'Sources and Uses Budget'!$C31</f>
        <v>3967793.75</v>
      </c>
      <c r="C32" s="286">
        <f>'Sources and Uses Budget'!$C31</f>
        <v>3967793.75</v>
      </c>
      <c r="D32" s="290">
        <f t="shared" si="0"/>
        <v>0</v>
      </c>
      <c r="E32" s="288"/>
      <c r="F32" s="287"/>
      <c r="G32" s="383"/>
    </row>
    <row r="33" spans="1:7" s="380" customFormat="1">
      <c r="A33" s="145" t="s">
        <v>137</v>
      </c>
      <c r="B33" s="286">
        <f>'Sources and Uses Budget'!$C32</f>
        <v>1017383.01</v>
      </c>
      <c r="C33" s="286">
        <f>'Sources and Uses Budget'!$C32</f>
        <v>1017383.01</v>
      </c>
      <c r="D33" s="290">
        <f t="shared" si="0"/>
        <v>0</v>
      </c>
      <c r="E33" s="288"/>
      <c r="F33" s="287"/>
      <c r="G33" s="383"/>
    </row>
    <row r="34" spans="1:7" s="380" customFormat="1">
      <c r="A34" s="145" t="s">
        <v>138</v>
      </c>
      <c r="B34" s="286">
        <f>'Sources and Uses Budget'!$C33</f>
        <v>2216706.19</v>
      </c>
      <c r="C34" s="286">
        <f>'Sources and Uses Budget'!$C33</f>
        <v>2216706.19</v>
      </c>
      <c r="D34" s="290">
        <f t="shared" si="0"/>
        <v>0</v>
      </c>
      <c r="E34" s="288"/>
      <c r="F34" s="287"/>
      <c r="G34" s="383"/>
    </row>
    <row r="35" spans="1:7" s="380" customFormat="1">
      <c r="A35" s="145" t="s">
        <v>139</v>
      </c>
      <c r="B35" s="286">
        <f>'Sources and Uses Budget'!$C34</f>
        <v>11282262.99</v>
      </c>
      <c r="C35" s="286">
        <f>'Sources and Uses Budget'!$C34</f>
        <v>11282262.99</v>
      </c>
      <c r="D35" s="290">
        <f t="shared" si="0"/>
        <v>0</v>
      </c>
      <c r="E35" s="288"/>
      <c r="F35" s="287"/>
      <c r="G35" s="383"/>
    </row>
    <row r="36" spans="1:7" s="380" customFormat="1">
      <c r="A36" s="145" t="s">
        <v>140</v>
      </c>
      <c r="B36" s="286">
        <f>'Sources and Uses Budget'!$C35</f>
        <v>580710.34</v>
      </c>
      <c r="C36" s="286">
        <f>'Sources and Uses Budget'!$C35</f>
        <v>580710.34</v>
      </c>
      <c r="D36" s="290">
        <f t="shared" si="0"/>
        <v>0</v>
      </c>
      <c r="E36" s="288"/>
      <c r="F36" s="287"/>
      <c r="G36" s="383"/>
    </row>
    <row r="37" spans="1:7" s="380" customFormat="1">
      <c r="A37" s="304" t="s">
        <v>1754</v>
      </c>
      <c r="B37" s="286">
        <f>'Sources and Uses Budget'!$C36</f>
        <v>250000</v>
      </c>
      <c r="C37" s="286">
        <f>'Sources and Uses Budget'!$C36</f>
        <v>250000</v>
      </c>
      <c r="D37" s="290"/>
      <c r="E37" s="288"/>
      <c r="F37" s="287"/>
      <c r="G37" s="383"/>
    </row>
    <row r="38" spans="1:7" s="380" customFormat="1">
      <c r="A38" s="155" t="str">
        <f>'Sources and Uses Budget'!A37</f>
        <v>Other: Off-site Dedicated Improvements</v>
      </c>
      <c r="B38" s="286">
        <f>'Sources and Uses Budget'!$C37</f>
        <v>1655958</v>
      </c>
      <c r="C38" s="286">
        <f>'Sources and Uses Budget'!$C37</f>
        <v>1655958</v>
      </c>
      <c r="D38" s="290">
        <f t="shared" si="0"/>
        <v>0</v>
      </c>
      <c r="E38" s="288"/>
      <c r="F38" s="287"/>
      <c r="G38" s="383"/>
    </row>
    <row r="39" spans="1:7" s="380" customFormat="1">
      <c r="A39" s="291" t="s">
        <v>143</v>
      </c>
      <c r="B39" s="290">
        <f>SUM(B30:B38)</f>
        <v>58901744.280000001</v>
      </c>
      <c r="C39" s="290">
        <f>SUM(C30:C38)</f>
        <v>58901744.280000001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562000</v>
      </c>
      <c r="C41" s="286">
        <f>'Sources and Uses Budget'!$C40</f>
        <v>562000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562000</v>
      </c>
      <c r="C43" s="290">
        <f>SUM(C41:C42)</f>
        <v>562000</v>
      </c>
      <c r="D43" s="290">
        <f t="shared" si="0"/>
        <v>0</v>
      </c>
      <c r="E43" s="288"/>
      <c r="F43" s="287"/>
      <c r="G43" s="383"/>
    </row>
    <row r="44" spans="1:7" s="380" customFormat="1">
      <c r="A44" s="291" t="s">
        <v>148</v>
      </c>
      <c r="B44" s="286">
        <f>'Sources and Uses Budget'!$C43</f>
        <v>1129370</v>
      </c>
      <c r="C44" s="286">
        <f>'Sources and Uses Budget'!$C43</f>
        <v>1129370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8547969.4000000004</v>
      </c>
      <c r="C46" s="286">
        <f>'Sources and Uses Budget'!$C45</f>
        <v>8547969.4000000004</v>
      </c>
      <c r="D46" s="290">
        <f t="shared" si="0"/>
        <v>0</v>
      </c>
      <c r="E46" s="288"/>
      <c r="F46" s="287"/>
      <c r="G46" s="383"/>
    </row>
    <row r="47" spans="1:7" s="380" customFormat="1">
      <c r="A47" s="145" t="s">
        <v>151</v>
      </c>
      <c r="B47" s="286">
        <f>'Sources and Uses Budget'!$C46</f>
        <v>585810</v>
      </c>
      <c r="C47" s="286">
        <f>'Sources and Uses Budget'!$C46</f>
        <v>585810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335273</v>
      </c>
      <c r="C50" s="286">
        <f>'Sources and Uses Budget'!$C49</f>
        <v>335273</v>
      </c>
      <c r="D50" s="290">
        <f t="shared" si="0"/>
        <v>0</v>
      </c>
      <c r="E50" s="288"/>
      <c r="F50" s="287"/>
      <c r="G50" s="383"/>
    </row>
    <row r="51" spans="1:7" s="380" customFormat="1">
      <c r="A51" s="145" t="s">
        <v>156</v>
      </c>
      <c r="B51" s="286">
        <f>'Sources and Uses Budget'!$C50</f>
        <v>132096</v>
      </c>
      <c r="C51" s="286">
        <f>'Sources and Uses Budget'!$C50</f>
        <v>132096</v>
      </c>
      <c r="D51" s="290">
        <f t="shared" si="0"/>
        <v>0</v>
      </c>
      <c r="E51" s="288"/>
      <c r="F51" s="287"/>
      <c r="G51" s="383"/>
    </row>
    <row r="52" spans="1:7" s="380" customFormat="1">
      <c r="A52" s="304" t="s">
        <v>154</v>
      </c>
      <c r="B52" s="286">
        <f>'Sources and Uses Budget'!$C51</f>
        <v>120000</v>
      </c>
      <c r="C52" s="286">
        <f>'Sources and Uses Budget'!$C51</f>
        <v>120000</v>
      </c>
      <c r="D52" s="290">
        <f t="shared" si="0"/>
        <v>0</v>
      </c>
      <c r="E52" s="288"/>
      <c r="F52" s="287"/>
      <c r="G52" s="383"/>
    </row>
    <row r="53" spans="1:7" s="380" customFormat="1">
      <c r="A53" s="145" t="s">
        <v>155</v>
      </c>
      <c r="B53" s="286">
        <f>'Sources and Uses Budget'!$C52</f>
        <v>1596566</v>
      </c>
      <c r="C53" s="286">
        <f>'Sources and Uses Budget'!$C52</f>
        <v>1596566</v>
      </c>
      <c r="D53" s="290">
        <f t="shared" si="0"/>
        <v>0</v>
      </c>
      <c r="E53" s="288"/>
      <c r="F53" s="287"/>
      <c r="G53" s="383"/>
    </row>
    <row r="54" spans="1:7" s="380" customFormat="1">
      <c r="A54" s="155" t="str">
        <f>'Sources and Uses Budget'!A53</f>
        <v>Other: Bank Inspection</v>
      </c>
      <c r="B54" s="286">
        <f>'Sources and Uses Budget'!$C53</f>
        <v>68200</v>
      </c>
      <c r="C54" s="286">
        <f>'Sources and Uses Budget'!$C53</f>
        <v>68200</v>
      </c>
      <c r="D54" s="290">
        <f t="shared" si="0"/>
        <v>0</v>
      </c>
      <c r="E54" s="288"/>
      <c r="F54" s="287"/>
      <c r="G54" s="383"/>
    </row>
    <row r="55" spans="1:7" s="381" customFormat="1">
      <c r="A55" s="291" t="s">
        <v>157</v>
      </c>
      <c r="B55" s="293">
        <f>SUM(B46:B54)</f>
        <v>11385914.4</v>
      </c>
      <c r="C55" s="293">
        <f>SUM(C46:C54)</f>
        <v>11385914.4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411428</v>
      </c>
      <c r="C57" s="286">
        <f>'Sources and Uses Budget'!$C56</f>
        <v>411428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411428</v>
      </c>
      <c r="C63" s="290">
        <f>SUM(C57:C62)</f>
        <v>411428</v>
      </c>
      <c r="D63" s="290">
        <f t="shared" si="0"/>
        <v>0</v>
      </c>
      <c r="E63" s="288"/>
      <c r="F63" s="287"/>
      <c r="G63" s="383"/>
    </row>
    <row r="64" spans="1:7" s="380" customFormat="1">
      <c r="A64" s="294" t="s">
        <v>303</v>
      </c>
      <c r="B64" s="290">
        <f>SUM(B9+B12+B14+B15+B17+B26+B28+B39+B43+B44+B55+B63)</f>
        <v>77160927.680000007</v>
      </c>
      <c r="C64" s="290">
        <f>SUM(C9+C12+C14+C15+C17+C26+C28+C39+C43+C44+C55+C63)</f>
        <v>77160927.680000007</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70000</v>
      </c>
      <c r="C66" s="286">
        <f>'Sources and Uses Budget'!$C65</f>
        <v>70000</v>
      </c>
      <c r="D66" s="290">
        <f t="shared" si="0"/>
        <v>0</v>
      </c>
      <c r="E66" s="288"/>
      <c r="F66" s="287"/>
      <c r="G66" s="383"/>
    </row>
    <row r="67" spans="1:7" s="380" customFormat="1" ht="24">
      <c r="A67" s="304" t="s">
        <v>1755</v>
      </c>
      <c r="B67" s="286">
        <f>'Sources and Uses Budget'!$C66</f>
        <v>178696</v>
      </c>
      <c r="C67" s="286">
        <f>'Sources and Uses Budget'!$C66</f>
        <v>178696</v>
      </c>
      <c r="D67" s="290"/>
      <c r="E67" s="288"/>
      <c r="F67" s="287"/>
      <c r="G67" s="383"/>
    </row>
    <row r="68" spans="1:7" s="380" customFormat="1" ht="24">
      <c r="A68" s="304" t="s">
        <v>1756</v>
      </c>
      <c r="B68" s="286">
        <f>'Sources and Uses Budget'!$C67</f>
        <v>105518</v>
      </c>
      <c r="C68" s="286">
        <f>'Sources and Uses Budget'!$C67</f>
        <v>105518</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1759</v>
      </c>
      <c r="B71" s="290">
        <f>SUM(B66:B70)</f>
        <v>354214</v>
      </c>
      <c r="C71" s="290">
        <f>SUM(C66:C70)</f>
        <v>354214</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699961</v>
      </c>
      <c r="C76" s="286">
        <f>'Sources and Uses Budget'!$C75</f>
        <v>699961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699961</v>
      </c>
      <c r="C78" s="290">
        <f>SUM(C73:C77)</f>
        <v>699961</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2932587</v>
      </c>
      <c r="C80" s="286">
        <f>'Sources and Uses Budget'!$C79</f>
        <v>2932587</v>
      </c>
      <c r="D80" s="290">
        <f t="shared" si="1"/>
        <v>0</v>
      </c>
      <c r="E80" s="288"/>
      <c r="F80" s="287"/>
      <c r="G80" s="383"/>
    </row>
    <row r="81" spans="1:7" s="380" customFormat="1">
      <c r="A81" s="544" t="s">
        <v>58</v>
      </c>
      <c r="B81" s="286">
        <f>'Sources and Uses Budget'!$C80</f>
        <v>498893</v>
      </c>
      <c r="C81" s="286">
        <f>'Sources and Uses Budget'!$C80</f>
        <v>498893</v>
      </c>
      <c r="D81" s="290">
        <f>C81-B81</f>
        <v>0</v>
      </c>
      <c r="E81" s="288"/>
      <c r="F81" s="287"/>
      <c r="G81" s="383"/>
    </row>
    <row r="82" spans="1:7" s="380" customFormat="1">
      <c r="A82" s="291" t="s">
        <v>1316</v>
      </c>
      <c r="B82" s="290">
        <f>SUM(B80:B81)</f>
        <v>3431480</v>
      </c>
      <c r="C82" s="290">
        <f>SUM(C80:C81)</f>
        <v>3431480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317000</v>
      </c>
      <c r="C84" s="286">
        <f>'Sources and Uses Budget'!$C83</f>
        <v>317000</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4109288.5</v>
      </c>
      <c r="C86" s="286">
        <f>'Sources and Uses Budget'!$C85</f>
        <v>4109288.5</v>
      </c>
      <c r="D86" s="290">
        <f t="shared" si="1"/>
        <v>0</v>
      </c>
      <c r="E86" s="288"/>
      <c r="F86" s="287"/>
      <c r="G86" s="383"/>
    </row>
    <row r="87" spans="1:7" s="380" customFormat="1">
      <c r="A87" s="289" t="s">
        <v>779</v>
      </c>
      <c r="B87" s="286">
        <f>'Sources and Uses Budget'!$C86</f>
        <v>669073</v>
      </c>
      <c r="C87" s="286">
        <f>'Sources and Uses Budget'!$C86</f>
        <v>669073</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60000</v>
      </c>
      <c r="C89" s="286">
        <f>'Sources and Uses Budget'!$C88</f>
        <v>60000</v>
      </c>
      <c r="D89" s="290">
        <f t="shared" si="1"/>
        <v>0</v>
      </c>
      <c r="E89" s="288"/>
      <c r="F89" s="287"/>
      <c r="G89" s="383"/>
    </row>
    <row r="90" spans="1:7" s="380" customFormat="1">
      <c r="A90" s="289" t="s">
        <v>782</v>
      </c>
      <c r="B90" s="286">
        <f>'Sources and Uses Budget'!$C89</f>
        <v>150000</v>
      </c>
      <c r="C90" s="286">
        <f>'Sources and Uses Budget'!$C89</f>
        <v>150000</v>
      </c>
      <c r="D90" s="290">
        <f t="shared" si="1"/>
        <v>0</v>
      </c>
      <c r="E90" s="288"/>
      <c r="F90" s="287"/>
      <c r="G90" s="383"/>
    </row>
    <row r="91" spans="1:7" s="380" customFormat="1">
      <c r="A91" s="289" t="s">
        <v>783</v>
      </c>
      <c r="B91" s="286">
        <f>'Sources and Uses Budget'!$C90</f>
        <v>12300</v>
      </c>
      <c r="C91" s="286">
        <f>'Sources and Uses Budget'!$C90</f>
        <v>12300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1318</v>
      </c>
      <c r="B93" s="286">
        <f>'Sources and Uses Budget'!$C92</f>
        <v>12800</v>
      </c>
      <c r="C93" s="286">
        <f>'Sources and Uses Budget'!$C92</f>
        <v>12800</v>
      </c>
      <c r="D93" s="290">
        <f t="shared" si="1"/>
        <v>0</v>
      </c>
      <c r="E93" s="288"/>
      <c r="F93" s="287"/>
      <c r="G93" s="383"/>
    </row>
    <row r="94" spans="1:7" s="380" customFormat="1">
      <c r="A94" s="292" t="s">
        <v>34</v>
      </c>
      <c r="B94" s="286">
        <f>'Sources and Uses Budget'!$C93</f>
        <v>25000</v>
      </c>
      <c r="C94" s="286">
        <f>'Sources and Uses Budget'!$C93</f>
        <v>25000</v>
      </c>
      <c r="D94" s="290">
        <f t="shared" si="1"/>
        <v>0</v>
      </c>
      <c r="E94" s="288"/>
      <c r="F94" s="287"/>
      <c r="G94" s="383"/>
    </row>
    <row r="95" spans="1:7" s="380" customFormat="1">
      <c r="A95" s="292" t="s">
        <v>34</v>
      </c>
      <c r="B95" s="286">
        <f>'Sources and Uses Budget'!$C94</f>
        <v>7727</v>
      </c>
      <c r="C95" s="286">
        <f>'Sources and Uses Budget'!$C94</f>
        <v>7727</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5388188.5</v>
      </c>
      <c r="C97" s="290">
        <f>SUM(C84:C96)</f>
        <v>5388188.5</v>
      </c>
      <c r="D97" s="290">
        <f t="shared" si="1"/>
        <v>0</v>
      </c>
      <c r="E97" s="288"/>
      <c r="F97" s="287"/>
      <c r="G97" s="383"/>
    </row>
    <row r="98" spans="1:7" s="380" customFormat="1">
      <c r="A98" s="291" t="s">
        <v>785</v>
      </c>
      <c r="B98" s="290">
        <f>SUM(B64+B71+B78+B82+B97)</f>
        <v>87034771.180000007</v>
      </c>
      <c r="C98" s="290">
        <f>SUM(C64+C71+C78+C82+C97)</f>
        <v>87034771.180000007</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15621735.4</v>
      </c>
      <c r="C100" s="286">
        <f>'Sources and Uses Budget'!$C99</f>
        <v>15621735.4</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15621735.4</v>
      </c>
      <c r="C105" s="290">
        <f>SUM(C100:C104)</f>
        <v>15621735.4</v>
      </c>
      <c r="D105" s="290">
        <f t="shared" si="1"/>
        <v>0</v>
      </c>
      <c r="E105" s="288"/>
      <c r="F105" s="287"/>
      <c r="G105" s="383"/>
    </row>
    <row r="106" spans="1:7" s="380" customFormat="1">
      <c r="A106" s="291" t="s">
        <v>790</v>
      </c>
      <c r="B106" s="293">
        <f>SUM(B98+B105)</f>
        <v>102656506.58000001</v>
      </c>
      <c r="C106" s="293">
        <f>SUM(C98+C105)</f>
        <v>102656506.58000001</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2357</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2355</v>
      </c>
      <c r="B73" s="1274"/>
      <c r="C73" s="1274"/>
      <c r="D73" s="1274"/>
      <c r="E73" s="1274"/>
    </row>
    <row r="74" spans="1:9" ht="12.75">
      <c r="A74" s="1274" t="s">
        <v>2356</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40" workbookViewId="0">
      <selection activeCell="A6" sqref="A6:G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2578</v>
      </c>
      <c r="B2" s="1351"/>
      <c r="C2" s="1351"/>
      <c r="D2" s="1351"/>
      <c r="E2" s="1351"/>
      <c r="F2" s="1351"/>
      <c r="G2" s="1351"/>
      <c r="H2" s="1351"/>
      <c r="I2" s="1351"/>
    </row>
    <row r="3" spans="1:13">
      <c r="A3" s="1339" t="s">
        <v>2623</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2622</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308</v>
      </c>
      <c r="C15" s="517"/>
      <c r="D15" s="1295" t="s">
        <v>2218</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2216</v>
      </c>
      <c r="F18" s="479"/>
      <c r="I18" s="524"/>
    </row>
    <row r="19" spans="1:9">
      <c r="A19" s="517"/>
      <c r="B19" s="517"/>
      <c r="C19" s="517"/>
      <c r="I19" s="524"/>
    </row>
    <row r="20" spans="1:9" ht="14.25">
      <c r="A20" s="518"/>
      <c r="B20" s="519" t="s">
        <v>308</v>
      </c>
      <c r="D20" s="1295" t="s">
        <v>2219</v>
      </c>
      <c r="E20" s="1295"/>
      <c r="F20" s="1295"/>
      <c r="I20" s="524" t="s">
        <v>2075</v>
      </c>
    </row>
    <row r="21" spans="1:9" ht="14.25">
      <c r="A21" s="518"/>
      <c r="D21" s="1295"/>
      <c r="E21" s="1295"/>
      <c r="F21" s="1295"/>
      <c r="I21" s="524"/>
    </row>
    <row r="22" spans="1:9" ht="14.25">
      <c r="A22" s="518"/>
      <c r="D22" s="423"/>
      <c r="E22" s="96" t="s">
        <v>2215</v>
      </c>
      <c r="F22" s="423"/>
      <c r="I22" s="524"/>
    </row>
    <row r="23" spans="1:9" ht="14.25">
      <c r="A23" s="518"/>
      <c r="B23" s="518"/>
      <c r="D23" s="480"/>
      <c r="I23" s="524"/>
    </row>
    <row r="24" spans="1:9" ht="14.25">
      <c r="A24" s="518"/>
      <c r="B24" s="519" t="s">
        <v>308</v>
      </c>
      <c r="D24" s="1295" t="s">
        <v>1154</v>
      </c>
      <c r="E24" s="1295"/>
      <c r="F24" s="1295"/>
      <c r="I24" s="524" t="s">
        <v>2075</v>
      </c>
    </row>
    <row r="25" spans="1:9" ht="14.25">
      <c r="A25" s="518"/>
      <c r="B25" s="518"/>
      <c r="D25" s="1295"/>
      <c r="E25" s="1295"/>
      <c r="F25" s="1295"/>
      <c r="I25" s="524"/>
    </row>
    <row r="26" spans="1:9">
      <c r="I26" s="524"/>
    </row>
    <row r="27" spans="1:9" ht="14.25">
      <c r="A27" s="518"/>
      <c r="B27" s="519" t="s">
        <v>308</v>
      </c>
      <c r="D27" s="1295" t="s">
        <v>2358</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308</v>
      </c>
      <c r="D33" s="1295" t="s">
        <v>2359</v>
      </c>
      <c r="E33" s="1295"/>
      <c r="F33" s="1295"/>
      <c r="I33" s="524" t="s">
        <v>2074</v>
      </c>
    </row>
    <row r="34" spans="1:9">
      <c r="D34" s="1295"/>
      <c r="E34" s="1295"/>
      <c r="F34" s="1295"/>
      <c r="I34" s="524"/>
    </row>
    <row r="35" spans="1:9" ht="14.25">
      <c r="A35" s="518"/>
      <c r="B35" s="518"/>
      <c r="D35" s="481"/>
      <c r="I35" s="524"/>
    </row>
    <row r="36" spans="1:9" ht="14.45" customHeight="1">
      <c r="A36" s="518"/>
      <c r="B36" s="519" t="s">
        <v>308</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308</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308</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308</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308</v>
      </c>
      <c r="D56" s="1344" t="s">
        <v>1161</v>
      </c>
      <c r="E56" s="1344"/>
      <c r="F56" s="1344"/>
      <c r="I56" s="524"/>
    </row>
    <row r="57" spans="1:9" ht="14.25">
      <c r="A57" s="518"/>
      <c r="B57" s="518"/>
      <c r="D57" s="1344"/>
      <c r="E57" s="1344"/>
      <c r="F57" s="1344"/>
      <c r="I57" s="524"/>
    </row>
    <row r="58" spans="1:9" ht="14.25">
      <c r="A58" s="518"/>
      <c r="B58" s="518"/>
      <c r="D58" s="423" t="s">
        <v>2217</v>
      </c>
      <c r="E58" s="479"/>
      <c r="F58" s="479"/>
      <c r="I58" s="524"/>
    </row>
    <row r="59" spans="1:9" ht="14.25">
      <c r="A59" s="518"/>
      <c r="B59" s="518"/>
      <c r="D59" s="479"/>
      <c r="E59" s="336" t="s">
        <v>2216</v>
      </c>
      <c r="F59" s="479"/>
      <c r="I59" s="524"/>
    </row>
    <row r="60" spans="1:9">
      <c r="D60" s="481"/>
      <c r="I60" s="524"/>
    </row>
    <row r="61" spans="1:9" ht="14.25">
      <c r="A61" s="518"/>
      <c r="B61" s="519" t="s">
        <v>308</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308</v>
      </c>
      <c r="D65" s="1295" t="s">
        <v>1163</v>
      </c>
      <c r="E65" s="1295"/>
      <c r="F65" s="1295"/>
      <c r="I65" s="524" t="s">
        <v>2077</v>
      </c>
    </row>
    <row r="66" spans="1:9">
      <c r="D66" s="1295"/>
      <c r="E66" s="1295"/>
      <c r="F66" s="1295"/>
      <c r="I66" s="524"/>
    </row>
    <row r="67" spans="1:9">
      <c r="I67" s="524"/>
    </row>
    <row r="68" spans="1:9" ht="14.25">
      <c r="A68" s="518"/>
      <c r="B68" s="519" t="s">
        <v>308</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308</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308</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308</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308</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308</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2220</v>
      </c>
      <c r="F98" s="479"/>
      <c r="I98" s="524"/>
    </row>
    <row r="99" spans="1:9" ht="14.25">
      <c r="A99" s="518"/>
      <c r="B99" s="518"/>
      <c r="D99" s="416"/>
      <c r="E99" s="416"/>
      <c r="F99" s="416"/>
      <c r="I99" s="524"/>
    </row>
    <row r="100" spans="1:9" ht="14.25">
      <c r="A100" s="518"/>
      <c r="B100" s="519" t="s">
        <v>308</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308</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308</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308</v>
      </c>
      <c r="C128" s="433"/>
      <c r="D128" s="1306" t="s">
        <v>2360</v>
      </c>
      <c r="E128" s="1306"/>
      <c r="F128" s="1306"/>
      <c r="I128" s="524" t="s">
        <v>2084</v>
      </c>
    </row>
    <row r="129" spans="1:9" ht="14.25">
      <c r="A129" s="518"/>
      <c r="B129" s="518"/>
      <c r="C129" s="433"/>
      <c r="D129" s="1306"/>
      <c r="E129" s="1306"/>
      <c r="F129" s="1306"/>
      <c r="I129" s="524"/>
    </row>
    <row r="130" spans="1:9">
      <c r="I130" s="524"/>
    </row>
    <row r="131" spans="1:9" ht="14.25">
      <c r="A131" s="518"/>
      <c r="B131" s="519" t="s">
        <v>308</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308</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308</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2384</v>
      </c>
      <c r="E169" s="1340"/>
      <c r="F169" s="1340"/>
      <c r="G169" s="541"/>
      <c r="I169" s="524"/>
    </row>
    <row r="170" spans="1:9" ht="13.7" customHeight="1">
      <c r="D170" s="1281"/>
      <c r="E170" s="1281"/>
      <c r="F170" s="1281"/>
      <c r="G170" s="1281"/>
      <c r="I170" s="524"/>
    </row>
    <row r="171" spans="1:9" ht="14.45" customHeight="1">
      <c r="A171" s="523"/>
      <c r="B171" s="519" t="s">
        <v>308</v>
      </c>
      <c r="C171" s="510"/>
      <c r="D171" s="1277" t="s">
        <v>2573</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308</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308</v>
      </c>
      <c r="D182" s="1282" t="s">
        <v>2361</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2362</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308</v>
      </c>
      <c r="D197" s="1279" t="s">
        <v>1938</v>
      </c>
      <c r="E197" s="1279"/>
      <c r="F197" s="1279"/>
      <c r="I197" s="524" t="s">
        <v>2137</v>
      </c>
    </row>
    <row r="198" spans="1:9">
      <c r="A198" s="435"/>
      <c r="B198" s="435"/>
      <c r="D198" s="1311" t="s">
        <v>2198</v>
      </c>
      <c r="E198" s="1311"/>
      <c r="F198" s="1311"/>
      <c r="I198" s="524"/>
    </row>
    <row r="199" spans="1:9">
      <c r="A199" s="435"/>
      <c r="B199" s="435"/>
      <c r="D199" s="96" t="s">
        <v>1939</v>
      </c>
      <c r="E199" s="1343" t="s">
        <v>2221</v>
      </c>
      <c r="F199" s="1343"/>
      <c r="I199" s="524"/>
    </row>
    <row r="200" spans="1:9">
      <c r="A200" s="435"/>
      <c r="B200" s="435"/>
      <c r="D200" s="3"/>
      <c r="E200" s="3"/>
      <c r="F200" s="3"/>
      <c r="I200" s="524"/>
    </row>
    <row r="201" spans="1:9">
      <c r="A201" s="435"/>
      <c r="B201" s="519" t="s">
        <v>308</v>
      </c>
      <c r="D201" s="1311" t="s">
        <v>1940</v>
      </c>
      <c r="E201" s="1311"/>
      <c r="F201" s="1311"/>
      <c r="I201" s="524" t="s">
        <v>2138</v>
      </c>
    </row>
    <row r="202" spans="1:9">
      <c r="A202" s="435"/>
      <c r="B202" s="435"/>
      <c r="D202" s="1279" t="s">
        <v>2198</v>
      </c>
      <c r="E202" s="1279"/>
      <c r="F202" s="1279"/>
      <c r="I202" s="524"/>
    </row>
    <row r="203" spans="1:9">
      <c r="A203" s="435"/>
      <c r="B203" s="435"/>
      <c r="D203" s="57" t="s">
        <v>1941</v>
      </c>
      <c r="E203" s="1343" t="s">
        <v>2222</v>
      </c>
      <c r="F203" s="1343"/>
      <c r="I203" s="524"/>
    </row>
    <row r="204" spans="1:9">
      <c r="A204" s="435"/>
      <c r="B204" s="435"/>
      <c r="D204" s="3"/>
      <c r="E204" s="3"/>
      <c r="F204" s="3"/>
      <c r="I204" s="524"/>
    </row>
    <row r="205" spans="1:9">
      <c r="A205" s="435"/>
      <c r="B205" s="519" t="s">
        <v>308</v>
      </c>
      <c r="D205" s="1311" t="s">
        <v>1942</v>
      </c>
      <c r="E205" s="1311"/>
      <c r="F205" s="1311"/>
      <c r="I205" s="524" t="s">
        <v>2139</v>
      </c>
    </row>
    <row r="206" spans="1:9">
      <c r="A206" s="435"/>
      <c r="B206" s="435"/>
      <c r="D206" s="1279" t="s">
        <v>2198</v>
      </c>
      <c r="E206" s="1279"/>
      <c r="F206" s="1279"/>
      <c r="I206" s="524"/>
    </row>
    <row r="207" spans="1:9">
      <c r="A207" s="435"/>
      <c r="B207" s="435"/>
      <c r="D207" s="57" t="s">
        <v>1939</v>
      </c>
      <c r="E207" s="1343" t="s">
        <v>2223</v>
      </c>
      <c r="F207" s="1343"/>
      <c r="I207" s="524"/>
    </row>
    <row r="208" spans="1:9">
      <c r="A208" s="435"/>
      <c r="B208" s="435"/>
      <c r="D208" s="423"/>
      <c r="E208" s="423"/>
      <c r="F208" s="423"/>
      <c r="I208" s="524"/>
    </row>
    <row r="209" spans="1:9" ht="14.25" customHeight="1">
      <c r="A209" s="518"/>
      <c r="B209" s="519" t="s">
        <v>308</v>
      </c>
      <c r="D209" s="417" t="s">
        <v>2191</v>
      </c>
      <c r="E209" s="416"/>
      <c r="F209" s="416"/>
      <c r="I209" s="524" t="s">
        <v>2140</v>
      </c>
    </row>
    <row r="210" spans="1:9" ht="14.25">
      <c r="A210" s="518"/>
      <c r="B210" s="518"/>
      <c r="D210" s="1279" t="s">
        <v>2198</v>
      </c>
      <c r="E210" s="1279"/>
      <c r="F210" s="1279"/>
      <c r="I210" s="524"/>
    </row>
    <row r="211" spans="1:9">
      <c r="D211" s="416"/>
      <c r="E211" s="1343" t="s">
        <v>2224</v>
      </c>
      <c r="F211" s="1343"/>
      <c r="I211" s="524"/>
    </row>
    <row r="212" spans="1:9">
      <c r="D212" s="481"/>
      <c r="I212" s="524"/>
    </row>
    <row r="213" spans="1:9">
      <c r="B213" s="519" t="s">
        <v>308</v>
      </c>
      <c r="D213" s="1311" t="s">
        <v>1943</v>
      </c>
      <c r="E213" s="1311"/>
      <c r="F213" s="1311"/>
      <c r="I213" s="524" t="s">
        <v>2141</v>
      </c>
    </row>
    <row r="214" spans="1:9">
      <c r="D214" s="1279" t="s">
        <v>2198</v>
      </c>
      <c r="E214" s="1279"/>
      <c r="F214" s="1279"/>
      <c r="I214" s="524"/>
    </row>
    <row r="215" spans="1:9">
      <c r="D215" s="57" t="s">
        <v>1939</v>
      </c>
      <c r="E215" s="1343" t="s">
        <v>2225</v>
      </c>
      <c r="F215" s="1343"/>
      <c r="I215" s="524"/>
    </row>
    <row r="216" spans="1:9">
      <c r="D216" s="485"/>
      <c r="E216" s="485"/>
      <c r="F216" s="485"/>
      <c r="I216" s="524"/>
    </row>
    <row r="217" spans="1:9" ht="14.25">
      <c r="A217" s="518"/>
      <c r="B217" s="519" t="s">
        <v>308</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308</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308</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308</v>
      </c>
      <c r="D245" s="1295" t="s">
        <v>2363</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2192</v>
      </c>
      <c r="I248" s="524"/>
    </row>
    <row r="249" spans="1:9" ht="14.25">
      <c r="A249" s="518"/>
      <c r="B249" s="518"/>
      <c r="D249" s="480"/>
      <c r="E249" s="480"/>
      <c r="F249" s="480"/>
      <c r="I249" s="524"/>
    </row>
    <row r="250" spans="1:9" ht="14.45" customHeight="1">
      <c r="A250" s="518"/>
      <c r="B250" s="519" t="s">
        <v>308</v>
      </c>
      <c r="D250" s="1295" t="s">
        <v>2364</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308</v>
      </c>
      <c r="D256" s="423" t="s">
        <v>2365</v>
      </c>
      <c r="E256" s="479"/>
      <c r="F256" s="479"/>
      <c r="I256" s="524" t="s">
        <v>2127</v>
      </c>
    </row>
    <row r="257" spans="1:9" ht="14.25">
      <c r="A257" s="518"/>
      <c r="B257" s="518"/>
      <c r="E257" s="1071" t="s">
        <v>2193</v>
      </c>
      <c r="I257" s="524"/>
    </row>
    <row r="258" spans="1:9">
      <c r="D258" s="480"/>
      <c r="E258" s="480"/>
      <c r="F258" s="480"/>
      <c r="I258" s="524"/>
    </row>
    <row r="259" spans="1:9" ht="14.25">
      <c r="A259" s="518"/>
      <c r="B259" s="519" t="s">
        <v>308</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308</v>
      </c>
      <c r="D267" s="1295" t="s">
        <v>1303</v>
      </c>
      <c r="E267" s="1295"/>
      <c r="F267" s="1295"/>
      <c r="I267" s="524"/>
    </row>
    <row r="268" spans="1:9">
      <c r="D268" s="1295"/>
      <c r="E268" s="1295"/>
      <c r="F268" s="1295"/>
      <c r="I268" s="524"/>
    </row>
    <row r="269" spans="1:9">
      <c r="E269" s="1071" t="s">
        <v>2194</v>
      </c>
      <c r="I269" s="524"/>
    </row>
    <row r="270" spans="1:9">
      <c r="D270" s="480"/>
      <c r="E270" s="480"/>
      <c r="F270" s="480"/>
      <c r="I270" s="524"/>
    </row>
    <row r="271" spans="1:9" ht="14.45" customHeight="1">
      <c r="A271" s="518"/>
      <c r="B271" s="519" t="s">
        <v>308</v>
      </c>
      <c r="D271" s="1295" t="s">
        <v>2366</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308</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308</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308</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308</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308</v>
      </c>
      <c r="D305" s="1296" t="s">
        <v>1216</v>
      </c>
      <c r="E305" s="1296"/>
      <c r="F305" s="1296"/>
      <c r="I305" s="524" t="s">
        <v>2092</v>
      </c>
    </row>
    <row r="306" spans="1:9" ht="14.25">
      <c r="A306" s="518"/>
      <c r="B306" s="518"/>
      <c r="D306" s="528"/>
      <c r="E306" s="529"/>
      <c r="F306" s="529"/>
      <c r="I306" s="524"/>
    </row>
    <row r="307" spans="1:9" ht="13.7" customHeight="1">
      <c r="B307" s="519" t="s">
        <v>308</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308</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308</v>
      </c>
      <c r="D316" s="1296" t="s">
        <v>1219</v>
      </c>
      <c r="E316" s="1296"/>
      <c r="F316" s="1296"/>
      <c r="I316" s="524" t="s">
        <v>2078</v>
      </c>
    </row>
    <row r="317" spans="1:9">
      <c r="E317" s="480"/>
      <c r="F317" s="480"/>
      <c r="I317" s="524"/>
    </row>
    <row r="318" spans="1:9" ht="14.25">
      <c r="A318" s="518"/>
      <c r="B318" s="519" t="s">
        <v>308</v>
      </c>
      <c r="D318" s="1295" t="s">
        <v>2385</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308</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308</v>
      </c>
      <c r="D344" s="1295" t="s">
        <v>2199</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308</v>
      </c>
      <c r="C355" s="521"/>
      <c r="D355" s="1296" t="s">
        <v>2197</v>
      </c>
      <c r="E355" s="1296"/>
      <c r="F355" s="1296"/>
      <c r="I355" s="1352" t="s">
        <v>2144</v>
      </c>
    </row>
    <row r="356" spans="1:9" ht="12.75" customHeight="1">
      <c r="D356" s="1072"/>
      <c r="E356" s="96" t="s">
        <v>2196</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308</v>
      </c>
      <c r="C360" s="510"/>
      <c r="D360" s="1281" t="s">
        <v>2367</v>
      </c>
      <c r="E360" s="1281"/>
      <c r="F360" s="1281"/>
      <c r="I360" s="514"/>
    </row>
    <row r="361" spans="1:9">
      <c r="A361" s="510"/>
      <c r="B361" s="510"/>
      <c r="C361" s="510"/>
      <c r="D361" s="481"/>
      <c r="E361" s="481"/>
      <c r="F361" s="480"/>
      <c r="I361" s="524"/>
    </row>
    <row r="362" spans="1:9">
      <c r="A362" s="510"/>
      <c r="B362" s="519" t="s">
        <v>308</v>
      </c>
      <c r="C362" s="510"/>
      <c r="D362" s="1277" t="s">
        <v>2368</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308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308</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308</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308</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308</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2386</v>
      </c>
      <c r="E433" s="1277"/>
      <c r="F433" s="1277"/>
      <c r="I433" s="524"/>
    </row>
    <row r="434" spans="1:9">
      <c r="D434" s="480"/>
      <c r="E434" s="480"/>
      <c r="F434" s="480"/>
      <c r="I434" s="524"/>
    </row>
    <row r="435" spans="1:9" ht="14.25">
      <c r="A435" s="518"/>
      <c r="B435" s="519" t="s">
        <v>308</v>
      </c>
      <c r="C435" s="521"/>
      <c r="D435" s="1295" t="s">
        <v>2369</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308</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308</v>
      </c>
      <c r="C471" s="518"/>
      <c r="D471" s="1295" t="s">
        <v>1304</v>
      </c>
      <c r="E471" s="1295"/>
      <c r="F471" s="1295"/>
      <c r="I471" s="524"/>
    </row>
    <row r="472" spans="1:9">
      <c r="D472" s="1295"/>
      <c r="E472" s="1295"/>
      <c r="F472" s="1295"/>
      <c r="I472" s="524"/>
    </row>
    <row r="473" spans="1:9">
      <c r="D473" s="480"/>
      <c r="E473" s="480"/>
      <c r="F473" s="480"/>
      <c r="I473" s="524"/>
    </row>
    <row r="474" spans="1:9" ht="14.25">
      <c r="B474" s="519" t="s">
        <v>308</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308</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308</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308</v>
      </c>
      <c r="C486" s="433"/>
      <c r="D486" s="1295"/>
      <c r="E486" s="1295"/>
      <c r="F486" s="1295"/>
      <c r="I486" s="524"/>
    </row>
    <row r="487" spans="1:9">
      <c r="A487" s="433"/>
      <c r="C487" s="433"/>
      <c r="D487" s="1295"/>
      <c r="E487" s="1295"/>
      <c r="F487" s="1295"/>
      <c r="I487" s="524"/>
    </row>
    <row r="488" spans="1:9">
      <c r="A488" s="433"/>
      <c r="B488" s="519" t="s">
        <v>308</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308</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308</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308</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308</v>
      </c>
      <c r="D509" s="1296" t="s">
        <v>1243</v>
      </c>
      <c r="E509" s="1296"/>
      <c r="F509" s="1296"/>
      <c r="I509" s="524" t="s">
        <v>2097</v>
      </c>
    </row>
    <row r="510" spans="1:9" ht="14.25">
      <c r="A510" s="518"/>
      <c r="B510" s="518"/>
      <c r="D510" s="480"/>
      <c r="I510" s="524"/>
    </row>
    <row r="511" spans="1:9" ht="14.25">
      <c r="A511" s="518"/>
      <c r="B511" s="519" t="s">
        <v>308</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308</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77" t="s">
        <v>2370</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308</v>
      </c>
      <c r="D525" s="417" t="s">
        <v>2200</v>
      </c>
      <c r="E525" s="416"/>
      <c r="F525" s="416"/>
      <c r="I525" s="524" t="s">
        <v>2098</v>
      </c>
    </row>
    <row r="526" spans="1:9">
      <c r="A526" s="517"/>
      <c r="B526" s="517"/>
      <c r="C526" s="517"/>
      <c r="D526" s="416"/>
      <c r="E526" s="96" t="s">
        <v>2201</v>
      </c>
      <c r="I526" s="524"/>
    </row>
    <row r="527" spans="1:9">
      <c r="A527" s="517"/>
      <c r="B527" s="517"/>
      <c r="D527" s="1325" t="s">
        <v>2371</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308</v>
      </c>
      <c r="C531" s="517"/>
      <c r="D531" s="1295" t="s">
        <v>2372</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308</v>
      </c>
      <c r="C543" s="521"/>
      <c r="D543" s="1296" t="s">
        <v>897</v>
      </c>
      <c r="E543" s="1296"/>
      <c r="F543" s="1296"/>
      <c r="I543" s="524" t="s">
        <v>2148</v>
      </c>
    </row>
    <row r="544" spans="1:9" ht="13.7" customHeight="1">
      <c r="A544" s="521"/>
      <c r="B544" s="521"/>
      <c r="C544" s="521"/>
      <c r="D544" s="480"/>
      <c r="I544" s="524"/>
    </row>
    <row r="545" spans="1:9" ht="14.25">
      <c r="A545" s="518"/>
      <c r="B545" s="519" t="s">
        <v>308</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308</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308</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308</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308</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308</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308</v>
      </c>
      <c r="C564" s="521"/>
      <c r="D564" s="1296" t="s">
        <v>1146</v>
      </c>
      <c r="E564" s="1296"/>
      <c r="F564" s="1296"/>
      <c r="I564" s="524" t="s">
        <v>2151</v>
      </c>
    </row>
    <row r="565" spans="1:9">
      <c r="A565" s="524"/>
      <c r="B565" s="524"/>
      <c r="C565" s="521"/>
      <c r="D565" s="1296" t="s">
        <v>2203</v>
      </c>
      <c r="E565" s="1296"/>
      <c r="F565" s="1296"/>
      <c r="I565" s="524"/>
    </row>
    <row r="566" spans="1:9">
      <c r="A566" s="524"/>
      <c r="B566" s="524"/>
      <c r="C566" s="521"/>
      <c r="E566" s="96" t="s">
        <v>2202</v>
      </c>
      <c r="F566" s="435"/>
      <c r="I566" s="524"/>
    </row>
    <row r="567" spans="1:9" ht="14.25">
      <c r="A567" s="518"/>
      <c r="B567" s="518"/>
      <c r="C567" s="521"/>
      <c r="E567" s="480"/>
      <c r="F567" s="480"/>
      <c r="I567" s="524"/>
    </row>
    <row r="568" spans="1:9" ht="14.25">
      <c r="A568" s="518"/>
      <c r="B568" s="519" t="s">
        <v>308</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308</v>
      </c>
      <c r="C573" s="521"/>
      <c r="D573" s="1295" t="s">
        <v>2373</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308</v>
      </c>
      <c r="D583" s="1282" t="s">
        <v>903</v>
      </c>
      <c r="E583" s="1282"/>
      <c r="F583" s="1282"/>
      <c r="I583" s="524"/>
    </row>
    <row r="584" spans="1:9">
      <c r="A584" s="524"/>
      <c r="B584" s="524"/>
      <c r="D584" s="510"/>
      <c r="I584" s="524"/>
    </row>
    <row r="585" spans="1:9">
      <c r="A585" s="524"/>
      <c r="B585" s="519" t="s">
        <v>308</v>
      </c>
      <c r="D585" s="1282" t="s">
        <v>2374</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308</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308</v>
      </c>
      <c r="D594" s="1282" t="s">
        <v>2375</v>
      </c>
      <c r="E594" s="1282"/>
      <c r="F594" s="1282"/>
      <c r="I594" s="524"/>
    </row>
    <row r="595" spans="1:9">
      <c r="A595" s="524"/>
      <c r="B595" s="524"/>
      <c r="D595" s="1282"/>
      <c r="E595" s="1282"/>
      <c r="F595" s="1282"/>
      <c r="I595" s="524"/>
    </row>
    <row r="596" spans="1:9">
      <c r="A596" s="524"/>
      <c r="B596" s="524"/>
      <c r="D596" s="533"/>
      <c r="I596" s="524"/>
    </row>
    <row r="597" spans="1:9">
      <c r="A597" s="524"/>
      <c r="B597" s="519" t="s">
        <v>308</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308</v>
      </c>
      <c r="D605" s="1335" t="s">
        <v>2204</v>
      </c>
      <c r="E605" s="1335"/>
      <c r="F605" s="1335"/>
      <c r="I605" s="524" t="s">
        <v>2133</v>
      </c>
    </row>
    <row r="606" spans="1:9">
      <c r="D606" s="1335"/>
      <c r="E606" s="1335"/>
      <c r="F606" s="1335"/>
      <c r="I606" s="524"/>
    </row>
    <row r="607" spans="1:9">
      <c r="D607" s="416"/>
      <c r="E607" s="1071" t="s">
        <v>2205</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308</v>
      </c>
      <c r="D615" s="1293" t="s">
        <v>1189</v>
      </c>
      <c r="E615" s="1293"/>
      <c r="F615" s="1293"/>
      <c r="I615" s="524" t="s">
        <v>2153</v>
      </c>
    </row>
    <row r="616" spans="1:9">
      <c r="D616" s="1293"/>
      <c r="E616" s="1293"/>
      <c r="F616" s="1293"/>
      <c r="I616" s="524"/>
    </row>
    <row r="617" spans="1:9">
      <c r="I617" s="524"/>
    </row>
    <row r="618" spans="1:9">
      <c r="B618" s="519" t="s">
        <v>308</v>
      </c>
      <c r="D618" s="1293" t="s">
        <v>1190</v>
      </c>
      <c r="E618" s="1293"/>
      <c r="F618" s="1293"/>
      <c r="I618" s="524" t="s">
        <v>2106</v>
      </c>
    </row>
    <row r="619" spans="1:9">
      <c r="C619" s="534"/>
      <c r="D619" s="1293"/>
      <c r="E619" s="1293"/>
      <c r="F619" s="1293"/>
      <c r="I619" s="524"/>
    </row>
    <row r="620" spans="1:9">
      <c r="C620" s="534"/>
      <c r="I620" s="524"/>
    </row>
    <row r="621" spans="1:9">
      <c r="B621" s="519" t="s">
        <v>308</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308</v>
      </c>
      <c r="D628" s="1335" t="s">
        <v>2376</v>
      </c>
      <c r="E628" s="1335"/>
      <c r="F628" s="1335"/>
      <c r="I628" s="524" t="s">
        <v>2134</v>
      </c>
    </row>
    <row r="629" spans="1:9">
      <c r="D629" s="1335"/>
      <c r="E629" s="1335"/>
      <c r="F629" s="1335"/>
      <c r="I629" s="524"/>
    </row>
    <row r="630" spans="1:9">
      <c r="D630" s="416"/>
      <c r="E630" s="1071" t="s">
        <v>2207</v>
      </c>
      <c r="F630" s="416"/>
      <c r="I630" s="524"/>
    </row>
    <row r="631" spans="1:9">
      <c r="D631" s="1295" t="s">
        <v>2206</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308</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308</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308</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308</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308</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308</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308</v>
      </c>
      <c r="C664" s="521"/>
      <c r="D664" s="1295" t="s">
        <v>2377</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308</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95" t="s">
        <v>2378</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308</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308</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308</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308</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308</v>
      </c>
      <c r="C732" s="517"/>
      <c r="D732" s="1295" t="s">
        <v>2500</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2387</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308</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308</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308</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308</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308</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308</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308</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308</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308</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308</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308</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308</v>
      </c>
      <c r="C822" s="1024"/>
      <c r="D822" s="1268" t="s">
        <v>1956</v>
      </c>
      <c r="E822" s="1268"/>
      <c r="F822" s="1268"/>
      <c r="G822" s="3"/>
      <c r="I822" s="524" t="s">
        <v>2128</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2388</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308</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308</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2379</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308</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9" t="s">
        <v>1964</v>
      </c>
      <c r="E863" s="1279"/>
      <c r="F863" s="1279"/>
      <c r="G863" s="1023"/>
      <c r="I863" s="524" t="s">
        <v>2129</v>
      </c>
    </row>
    <row r="864" spans="1:9" ht="12.75" customHeight="1">
      <c r="A864" s="385"/>
      <c r="B864" s="385"/>
      <c r="C864" s="385"/>
      <c r="D864" s="2" t="s">
        <v>1939</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308</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2379</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308</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9" t="s">
        <v>2380</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9" t="s">
        <v>2381</v>
      </c>
      <c r="E920" s="1279"/>
      <c r="F920" s="1279"/>
      <c r="G920" s="1023"/>
      <c r="I920" s="524"/>
    </row>
    <row r="921" spans="1:9" ht="12.75" customHeight="1">
      <c r="A921" s="175"/>
      <c r="B921" s="175"/>
      <c r="C921" s="175"/>
      <c r="D921" s="2"/>
      <c r="E921" s="3"/>
      <c r="F921" s="1023"/>
      <c r="G921" s="1023"/>
      <c r="I921" s="524"/>
    </row>
    <row r="922" spans="1:9" ht="12.75" customHeight="1">
      <c r="A922" s="1032"/>
      <c r="B922" s="519" t="s">
        <v>308</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308</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7" t="s">
        <v>2453</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308</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308</v>
      </c>
      <c r="C961" s="385"/>
      <c r="D961" s="1268" t="s">
        <v>2382</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308</v>
      </c>
      <c r="C982" s="385"/>
      <c r="D982" s="1332" t="s">
        <v>2212</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2213</v>
      </c>
      <c r="F984" s="1073"/>
      <c r="G984"/>
      <c r="I984" s="524"/>
    </row>
    <row r="985" spans="1:9" ht="12.75" customHeight="1">
      <c r="A985" s="385"/>
      <c r="B985" s="385"/>
      <c r="C985" s="385"/>
      <c r="D985" s="1272" t="s">
        <v>2211</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308</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308</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308</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308</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308</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308</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308</v>
      </c>
      <c r="C1034" s="385"/>
      <c r="D1034" s="1311" t="s">
        <v>1006</v>
      </c>
      <c r="E1034" s="1311"/>
      <c r="F1034" s="1311"/>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308</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308</v>
      </c>
      <c r="C1050" s="433"/>
      <c r="D1050" s="433" t="s">
        <v>2004</v>
      </c>
      <c r="I1050" s="524" t="s">
        <v>2116</v>
      </c>
    </row>
    <row r="1051" spans="1:9">
      <c r="A1051" s="433"/>
      <c r="B1051" s="433"/>
      <c r="C1051" s="433"/>
      <c r="I1051" s="524"/>
    </row>
    <row r="1052" spans="1:9">
      <c r="A1052" s="433"/>
      <c r="B1052" s="519" t="s">
        <v>308</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308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308</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308</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30" t="s">
        <v>2226</v>
      </c>
      <c r="E1085" s="1330"/>
      <c r="F1085" s="1330"/>
      <c r="I1085" s="524" t="s">
        <v>2122</v>
      </c>
    </row>
    <row r="1086" spans="1:9">
      <c r="A1086" s="433"/>
      <c r="B1086" s="433"/>
      <c r="C1086" s="433"/>
      <c r="D1086" s="1330"/>
      <c r="E1086" s="1330"/>
      <c r="F1086" s="1330"/>
      <c r="I1086" s="524"/>
    </row>
    <row r="1087" spans="1:9">
      <c r="A1087" s="433"/>
      <c r="B1087" s="433"/>
      <c r="C1087" s="433"/>
      <c r="D1087" s="1331" t="s">
        <v>2498</v>
      </c>
      <c r="E1087" s="1268"/>
      <c r="F1087" s="1268"/>
      <c r="I1087" s="524"/>
    </row>
    <row r="1088" spans="1:9">
      <c r="A1088" s="433"/>
      <c r="B1088" s="433"/>
      <c r="C1088" s="433"/>
      <c r="D1088" s="561"/>
      <c r="I1088" s="524"/>
    </row>
    <row r="1089" spans="1:9">
      <c r="A1089" s="433"/>
      <c r="B1089" s="519" t="s">
        <v>308</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308</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308</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308</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89" zoomScaleNormal="100" workbookViewId="0">
      <selection activeCell="AP230" sqref="AP23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2.95" customHeight="1">
      <c r="A9" s="1304" t="s">
        <v>2389</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2579</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2" t="s">
        <v>2631</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2.95" customHeight="1">
      <c r="A13" s="1266" t="s">
        <v>2390</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2391</v>
      </c>
      <c r="C16" s="4"/>
      <c r="D16" s="4"/>
      <c r="E16" s="4"/>
      <c r="F16" s="4"/>
      <c r="G16" s="4"/>
      <c r="H16" s="1792" t="s">
        <v>2632</v>
      </c>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row>
    <row r="17" spans="1:52" ht="12.95" customHeight="1"/>
    <row r="18" spans="1:52" ht="12.95" customHeight="1">
      <c r="A18" s="57" t="s">
        <v>101</v>
      </c>
      <c r="C18" s="4"/>
      <c r="D18" s="4"/>
      <c r="E18" s="4"/>
      <c r="F18" s="4"/>
      <c r="G18" s="4"/>
      <c r="H18" s="1447" t="s">
        <v>2633</v>
      </c>
      <c r="I18" s="1448"/>
      <c r="J18" s="1448"/>
      <c r="K18" s="1448"/>
      <c r="L18" s="1448"/>
      <c r="M18" s="1448"/>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row>
    <row r="19" spans="1:52" ht="12.95" customHeight="1"/>
    <row r="20" spans="1:52" ht="12.95" customHeight="1">
      <c r="A20" s="1443" t="s">
        <v>885</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2.95" customHeight="1">
      <c r="A21" s="1794" t="s">
        <v>1034</v>
      </c>
      <c r="B21" s="1794"/>
      <c r="C21" s="1794"/>
      <c r="D21" s="1794"/>
      <c r="E21" s="1794"/>
      <c r="F21" s="1794"/>
      <c r="G21" s="1794"/>
      <c r="H21" s="1794"/>
      <c r="I21" s="1794"/>
      <c r="J21" s="1794"/>
      <c r="K21" s="1794"/>
      <c r="L21" s="1794"/>
      <c r="M21" s="1794"/>
      <c r="N21" s="1794"/>
      <c r="O21" s="1794"/>
      <c r="P21" s="1794"/>
      <c r="Q21" s="1794"/>
      <c r="R21" s="1794"/>
      <c r="S21" s="1794"/>
      <c r="T21" s="1794"/>
      <c r="U21" s="1794"/>
      <c r="V21" s="1794"/>
      <c r="W21" s="1794"/>
      <c r="X21" s="1794"/>
      <c r="Y21" s="1794"/>
      <c r="Z21" s="1794"/>
      <c r="AA21" s="1794"/>
      <c r="AB21" s="1794"/>
      <c r="AC21" s="1794"/>
      <c r="AD21" s="1794"/>
      <c r="AE21" s="1794"/>
      <c r="AF21" s="1794"/>
      <c r="AG21" s="1794"/>
      <c r="AH21" s="1794"/>
      <c r="AI21" s="1794"/>
      <c r="AJ21" s="1794"/>
      <c r="AK21" s="1794"/>
      <c r="AL21" s="179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2504</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91">
        <f>'Basis &amp; Credits'!AB56</f>
        <v>4873981</v>
      </c>
      <c r="N26" s="1791"/>
      <c r="O26" s="1791"/>
      <c r="P26" s="1791"/>
      <c r="Q26" s="1791"/>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0">
        <f>'Basis &amp; Credits'!AB77</f>
        <v>22168328</v>
      </c>
      <c r="N27" s="1390"/>
      <c r="O27" s="1390"/>
      <c r="P27" s="1390"/>
      <c r="Q27" s="1390"/>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4" t="s">
        <v>2505</v>
      </c>
      <c r="B29" s="1444"/>
      <c r="C29" s="1444"/>
      <c r="D29" s="1444"/>
      <c r="E29" s="1444"/>
      <c r="F29" s="1444"/>
      <c r="G29" s="1444"/>
      <c r="H29" s="1444"/>
      <c r="I29" s="1444"/>
      <c r="J29" s="1444"/>
      <c r="K29" s="1444"/>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44"/>
      <c r="AO29" s="1444"/>
      <c r="AP29" s="1444"/>
      <c r="AQ29" s="1444"/>
      <c r="AR29" s="1444"/>
      <c r="AS29" s="1444"/>
      <c r="AT29" s="1444"/>
    </row>
    <row r="30" spans="1:52" ht="12.95" customHeight="1">
      <c r="A30" s="1444"/>
      <c r="B30" s="1444"/>
      <c r="C30" s="1444"/>
      <c r="D30" s="1444"/>
      <c r="E30" s="1444"/>
      <c r="F30" s="1444"/>
      <c r="G30" s="1444"/>
      <c r="H30" s="1444"/>
      <c r="I30" s="1444"/>
      <c r="J30" s="1444"/>
      <c r="K30" s="1444"/>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1444"/>
      <c r="AH30" s="1444"/>
      <c r="AI30" s="1444"/>
      <c r="AJ30" s="1444"/>
      <c r="AK30" s="1444"/>
      <c r="AL30" s="1444"/>
      <c r="AM30" s="1444"/>
      <c r="AN30" s="1444"/>
      <c r="AO30" s="1444"/>
      <c r="AP30" s="1444"/>
      <c r="AQ30" s="1444"/>
      <c r="AR30" s="1444"/>
      <c r="AS30" s="1444"/>
      <c r="AT30" s="1444"/>
      <c r="AZ30" s="20"/>
    </row>
    <row r="31" spans="1:52" ht="12.95" customHeight="1">
      <c r="A31" s="1444"/>
      <c r="B31" s="1444"/>
      <c r="C31" s="144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1444"/>
      <c r="AH31" s="1444"/>
      <c r="AI31" s="1444"/>
      <c r="AJ31" s="1444"/>
      <c r="AK31" s="1444"/>
      <c r="AL31" s="1444"/>
      <c r="AM31" s="1444"/>
      <c r="AN31" s="1444"/>
      <c r="AO31" s="1444"/>
      <c r="AP31" s="1444"/>
      <c r="AQ31" s="1444"/>
      <c r="AR31" s="1444"/>
      <c r="AS31" s="1444"/>
      <c r="AT31" s="14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05" t="s">
        <v>554</v>
      </c>
      <c r="P33" s="1405"/>
      <c r="Q33" s="1445" t="s">
        <v>2506</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2.95" customHeight="1">
      <c r="A34" s="1444" t="s">
        <v>2507</v>
      </c>
      <c r="B34" s="1444"/>
      <c r="C34" s="1444"/>
      <c r="D34" s="1444"/>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1444"/>
      <c r="AF34" s="1444"/>
      <c r="AG34" s="1444"/>
      <c r="AH34" s="1444"/>
      <c r="AI34" s="1444"/>
      <c r="AJ34" s="1444"/>
      <c r="AK34" s="1444"/>
      <c r="AL34" s="1444"/>
      <c r="AM34" s="1444"/>
      <c r="AN34" s="1444"/>
      <c r="AO34" s="1444"/>
      <c r="AP34" s="1444"/>
      <c r="AQ34" s="1444"/>
      <c r="AR34" s="1444"/>
      <c r="AS34" s="1444"/>
      <c r="AT34" s="1444"/>
      <c r="AU34" s="20"/>
      <c r="AV34" s="20"/>
      <c r="AW34" s="20"/>
      <c r="AX34" s="20"/>
      <c r="AY34" s="20"/>
      <c r="AZ34" s="20"/>
    </row>
    <row r="35" spans="1:52" ht="12.95" customHeight="1">
      <c r="A35" s="1444"/>
      <c r="B35" s="1444"/>
      <c r="C35" s="144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1444"/>
      <c r="AF35" s="1444"/>
      <c r="AG35" s="1444"/>
      <c r="AH35" s="1444"/>
      <c r="AI35" s="1444"/>
      <c r="AJ35" s="1444"/>
      <c r="AK35" s="1444"/>
      <c r="AL35" s="1444"/>
      <c r="AM35" s="1444"/>
      <c r="AN35" s="1444"/>
      <c r="AO35" s="1444"/>
      <c r="AP35" s="1444"/>
      <c r="AQ35" s="1444"/>
      <c r="AR35" s="1444"/>
      <c r="AS35" s="1444"/>
      <c r="AT35" s="1444"/>
      <c r="AU35" s="20"/>
      <c r="AV35" s="20"/>
      <c r="AW35" s="20"/>
      <c r="AX35" s="20"/>
      <c r="AY35" s="20"/>
      <c r="AZ35" s="20"/>
    </row>
    <row r="36" spans="1:52" ht="12.95" customHeight="1">
      <c r="A36" s="1444"/>
      <c r="B36" s="1444"/>
      <c r="C36" s="144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1444"/>
      <c r="AF36" s="1444"/>
      <c r="AG36" s="1444"/>
      <c r="AH36" s="1444"/>
      <c r="AI36" s="1444"/>
      <c r="AJ36" s="1444"/>
      <c r="AK36" s="1444"/>
      <c r="AL36" s="1444"/>
      <c r="AM36" s="1444"/>
      <c r="AN36" s="1444"/>
      <c r="AO36" s="1444"/>
      <c r="AP36" s="1444"/>
      <c r="AQ36" s="1444"/>
      <c r="AR36" s="1444"/>
      <c r="AS36" s="1444"/>
      <c r="AT36" s="1444"/>
      <c r="AU36" s="20"/>
      <c r="AV36" s="20"/>
      <c r="AW36" s="20"/>
      <c r="AX36" s="20"/>
      <c r="AY36" s="20"/>
      <c r="AZ36" s="20"/>
    </row>
    <row r="37" spans="1:52" ht="12.95" customHeight="1">
      <c r="A37" s="1444"/>
      <c r="B37" s="1444"/>
      <c r="C37" s="1444"/>
      <c r="D37" s="1444"/>
      <c r="E37" s="1444"/>
      <c r="F37" s="1444"/>
      <c r="G37" s="1444"/>
      <c r="H37" s="1444"/>
      <c r="I37" s="1444"/>
      <c r="J37" s="1444"/>
      <c r="K37" s="1444"/>
      <c r="L37" s="1444"/>
      <c r="M37" s="1444"/>
      <c r="N37" s="1444"/>
      <c r="O37" s="1444"/>
      <c r="P37" s="1444"/>
      <c r="Q37" s="1444"/>
      <c r="R37" s="1444"/>
      <c r="S37" s="1444"/>
      <c r="T37" s="1444"/>
      <c r="U37" s="1444"/>
      <c r="V37" s="1444"/>
      <c r="W37" s="1444"/>
      <c r="X37" s="1444"/>
      <c r="Y37" s="1444"/>
      <c r="Z37" s="1444"/>
      <c r="AA37" s="1444"/>
      <c r="AB37" s="1444"/>
      <c r="AC37" s="1444"/>
      <c r="AD37" s="1444"/>
      <c r="AE37" s="1444"/>
      <c r="AF37" s="1444"/>
      <c r="AG37" s="1444"/>
      <c r="AH37" s="1444"/>
      <c r="AI37" s="1444"/>
      <c r="AJ37" s="1444"/>
      <c r="AK37" s="1444"/>
      <c r="AL37" s="1444"/>
      <c r="AM37" s="1444"/>
      <c r="AN37" s="1444"/>
      <c r="AO37" s="1444"/>
      <c r="AP37" s="1444"/>
      <c r="AQ37" s="1444"/>
      <c r="AR37" s="1444"/>
      <c r="AS37" s="1444"/>
      <c r="AT37" s="1444"/>
      <c r="AZ37" s="20"/>
    </row>
    <row r="38" spans="1:52" ht="12.95" customHeight="1">
      <c r="A38" s="3"/>
      <c r="AZ38" s="20"/>
    </row>
    <row r="39" spans="1:52" ht="12.95" customHeight="1">
      <c r="A39" s="1268" t="s">
        <v>2508</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2509</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2510</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2511</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2512</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6" t="s">
        <v>2514</v>
      </c>
      <c r="B65" s="1446"/>
      <c r="C65" s="1446"/>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1446"/>
      <c r="AM65" s="1446"/>
      <c r="AN65" s="1446"/>
      <c r="AO65" s="1446"/>
      <c r="AP65" s="1446"/>
      <c r="AQ65" s="1446"/>
      <c r="AR65" s="1446"/>
      <c r="AS65" s="1446"/>
      <c r="AT65" s="1446"/>
      <c r="AU65" s="21"/>
      <c r="AV65" s="21"/>
      <c r="AW65" s="21"/>
      <c r="AX65" s="21"/>
      <c r="AY65" s="21"/>
      <c r="AZ65" s="20"/>
    </row>
    <row r="66" spans="1:52" ht="12.95" customHeight="1">
      <c r="A66" s="1446"/>
      <c r="B66" s="1446"/>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21"/>
      <c r="AV66" s="21"/>
      <c r="AW66" s="21"/>
      <c r="AX66" s="21"/>
      <c r="AY66" s="21"/>
      <c r="AZ66" s="20"/>
    </row>
    <row r="67" spans="1:52" ht="12.95" customHeight="1">
      <c r="A67" s="1446"/>
      <c r="B67" s="1446"/>
      <c r="C67" s="1446"/>
      <c r="D67" s="1446"/>
      <c r="E67" s="1446"/>
      <c r="F67" s="1446"/>
      <c r="G67" s="1446"/>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1446"/>
      <c r="AM67" s="1446"/>
      <c r="AN67" s="1446"/>
      <c r="AO67" s="1446"/>
      <c r="AP67" s="1446"/>
      <c r="AQ67" s="1446"/>
      <c r="AR67" s="1446"/>
      <c r="AS67" s="1446"/>
      <c r="AT67" s="144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6" t="s">
        <v>2515</v>
      </c>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1446"/>
      <c r="AM69" s="1446"/>
      <c r="AN69" s="1446"/>
      <c r="AO69" s="1446"/>
      <c r="AP69" s="1446"/>
      <c r="AQ69" s="1446"/>
      <c r="AR69" s="1446"/>
      <c r="AS69" s="1446"/>
      <c r="AT69" s="1446"/>
      <c r="AZ69" s="20"/>
    </row>
    <row r="70" spans="1:52" ht="12.95" customHeight="1">
      <c r="A70" s="1446"/>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4" t="s">
        <v>2516</v>
      </c>
      <c r="B72" s="1444"/>
      <c r="C72" s="1444"/>
      <c r="D72" s="1444"/>
      <c r="E72" s="1444"/>
      <c r="F72" s="1444"/>
      <c r="G72" s="1444"/>
      <c r="H72" s="1444"/>
      <c r="I72" s="1444"/>
      <c r="J72" s="1444"/>
      <c r="K72" s="1444"/>
      <c r="L72" s="1444"/>
      <c r="M72" s="1444"/>
      <c r="N72" s="1444"/>
      <c r="O72" s="1444"/>
      <c r="P72" s="1444"/>
      <c r="Q72" s="1444"/>
      <c r="R72" s="1444"/>
      <c r="S72" s="1444"/>
      <c r="T72" s="1444"/>
      <c r="U72" s="1444"/>
      <c r="V72" s="1444"/>
      <c r="W72" s="1444"/>
      <c r="X72" s="1444"/>
      <c r="Y72" s="1444"/>
      <c r="Z72" s="1444"/>
      <c r="AA72" s="1444"/>
      <c r="AB72" s="1444"/>
      <c r="AC72" s="1444"/>
      <c r="AD72" s="1444"/>
      <c r="AE72" s="1444"/>
      <c r="AF72" s="1444"/>
      <c r="AG72" s="1444"/>
      <c r="AH72" s="1444"/>
      <c r="AI72" s="1444"/>
      <c r="AJ72" s="1444"/>
      <c r="AK72" s="1444"/>
      <c r="AL72" s="1444"/>
      <c r="AM72" s="1444"/>
      <c r="AN72" s="1444"/>
      <c r="AO72" s="1444"/>
      <c r="AP72" s="1444"/>
      <c r="AQ72" s="1444"/>
      <c r="AR72" s="1444"/>
      <c r="AS72" s="1444"/>
      <c r="AT72" s="1444"/>
      <c r="AU72" s="20"/>
      <c r="AV72" s="20"/>
      <c r="AW72" s="20"/>
      <c r="AX72" s="20"/>
      <c r="AY72" s="20"/>
      <c r="AZ72" s="20"/>
    </row>
    <row r="73" spans="1:52" ht="12.95" customHeight="1">
      <c r="A73" s="1444"/>
      <c r="B73" s="1444"/>
      <c r="C73" s="1444"/>
      <c r="D73" s="1444"/>
      <c r="E73" s="1444"/>
      <c r="F73" s="1444"/>
      <c r="G73" s="1444"/>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44"/>
      <c r="AL73" s="1444"/>
      <c r="AM73" s="1444"/>
      <c r="AN73" s="1444"/>
      <c r="AO73" s="1444"/>
      <c r="AP73" s="1444"/>
      <c r="AQ73" s="1444"/>
      <c r="AR73" s="1444"/>
      <c r="AS73" s="1444"/>
      <c r="AT73" s="14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7" t="s">
        <v>2517</v>
      </c>
      <c r="B75" s="1817"/>
      <c r="C75" s="1817"/>
      <c r="D75" s="1817"/>
      <c r="E75" s="1817"/>
      <c r="F75" s="1817"/>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c r="AL75" s="1817"/>
      <c r="AM75" s="1817"/>
      <c r="AN75" s="1817"/>
      <c r="AO75" s="1817"/>
      <c r="AP75" s="1817"/>
      <c r="AQ75" s="1817"/>
      <c r="AR75" s="1817"/>
      <c r="AS75" s="1817"/>
      <c r="AT75" s="1817"/>
      <c r="AU75" s="20"/>
      <c r="AV75" s="20"/>
      <c r="AW75" s="20"/>
      <c r="AX75" s="20"/>
      <c r="AY75" s="20"/>
      <c r="AZ75" s="20"/>
    </row>
    <row r="76" spans="1:52" ht="12.95" customHeight="1">
      <c r="A76" s="1817"/>
      <c r="B76" s="1817"/>
      <c r="C76" s="1817"/>
      <c r="D76" s="1817"/>
      <c r="E76" s="1817"/>
      <c r="F76" s="1817"/>
      <c r="G76" s="1817"/>
      <c r="H76" s="1817"/>
      <c r="I76" s="1817"/>
      <c r="J76" s="1817"/>
      <c r="K76" s="1817"/>
      <c r="L76" s="1817"/>
      <c r="M76" s="1817"/>
      <c r="N76" s="1817"/>
      <c r="O76" s="1817"/>
      <c r="P76" s="1817"/>
      <c r="Q76" s="1817"/>
      <c r="R76" s="1817"/>
      <c r="S76" s="1817"/>
      <c r="T76" s="1817"/>
      <c r="U76" s="1817"/>
      <c r="V76" s="1817"/>
      <c r="W76" s="1817"/>
      <c r="X76" s="1817"/>
      <c r="Y76" s="1817"/>
      <c r="Z76" s="1817"/>
      <c r="AA76" s="1817"/>
      <c r="AB76" s="1817"/>
      <c r="AC76" s="1817"/>
      <c r="AD76" s="1817"/>
      <c r="AE76" s="1817"/>
      <c r="AF76" s="1817"/>
      <c r="AG76" s="1817"/>
      <c r="AH76" s="1817"/>
      <c r="AI76" s="1817"/>
      <c r="AJ76" s="1817"/>
      <c r="AK76" s="1817"/>
      <c r="AL76" s="1817"/>
      <c r="AM76" s="1817"/>
      <c r="AN76" s="1817"/>
      <c r="AO76" s="1817"/>
      <c r="AP76" s="1817"/>
      <c r="AQ76" s="1817"/>
      <c r="AR76" s="1817"/>
      <c r="AS76" s="1817"/>
      <c r="AT76" s="1817"/>
      <c r="AU76" s="20"/>
      <c r="AV76" s="20"/>
      <c r="AW76" s="20"/>
      <c r="AX76" s="20"/>
      <c r="AY76" s="20"/>
      <c r="AZ76" s="17"/>
    </row>
    <row r="77" spans="1:52" ht="12.95" customHeight="1">
      <c r="A77" s="1817"/>
      <c r="B77" s="1817"/>
      <c r="C77" s="1817"/>
      <c r="D77" s="1817"/>
      <c r="E77" s="1817"/>
      <c r="F77" s="1817"/>
      <c r="G77" s="1817"/>
      <c r="H77" s="1817"/>
      <c r="I77" s="1817"/>
      <c r="J77" s="1817"/>
      <c r="K77" s="1817"/>
      <c r="L77" s="1817"/>
      <c r="M77" s="1817"/>
      <c r="N77" s="1817"/>
      <c r="O77" s="1817"/>
      <c r="P77" s="1817"/>
      <c r="Q77" s="1817"/>
      <c r="R77" s="1817"/>
      <c r="S77" s="1817"/>
      <c r="T77" s="1817"/>
      <c r="U77" s="1817"/>
      <c r="V77" s="1817"/>
      <c r="W77" s="1817"/>
      <c r="X77" s="1817"/>
      <c r="Y77" s="1817"/>
      <c r="Z77" s="1817"/>
      <c r="AA77" s="1817"/>
      <c r="AB77" s="1817"/>
      <c r="AC77" s="1817"/>
      <c r="AD77" s="1817"/>
      <c r="AE77" s="1817"/>
      <c r="AF77" s="1817"/>
      <c r="AG77" s="1817"/>
      <c r="AH77" s="1817"/>
      <c r="AI77" s="1817"/>
      <c r="AJ77" s="1817"/>
      <c r="AK77" s="1817"/>
      <c r="AL77" s="1817"/>
      <c r="AM77" s="1817"/>
      <c r="AN77" s="1817"/>
      <c r="AO77" s="1817"/>
      <c r="AP77" s="1817"/>
      <c r="AQ77" s="1817"/>
      <c r="AR77" s="1817"/>
      <c r="AS77" s="1817"/>
      <c r="AT77" s="181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6" t="s">
        <v>2518</v>
      </c>
      <c r="B79" s="1446"/>
      <c r="C79" s="1446"/>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6"/>
      <c r="AC79" s="1446"/>
      <c r="AD79" s="1446"/>
      <c r="AE79" s="1446"/>
      <c r="AF79" s="1446"/>
      <c r="AG79" s="1446"/>
      <c r="AH79" s="1446"/>
      <c r="AI79" s="1446"/>
      <c r="AJ79" s="1446"/>
      <c r="AK79" s="1446"/>
      <c r="AL79" s="1446"/>
      <c r="AM79" s="1446"/>
      <c r="AN79" s="1446"/>
      <c r="AO79" s="1446"/>
      <c r="AP79" s="1446"/>
      <c r="AQ79" s="1446"/>
      <c r="AR79" s="1446"/>
      <c r="AS79" s="1446"/>
      <c r="AT79" s="1446"/>
      <c r="AU79" s="20"/>
      <c r="AV79" s="20"/>
      <c r="AW79" s="20"/>
      <c r="AX79" s="20"/>
      <c r="AY79" s="20"/>
      <c r="AZ79" s="20"/>
    </row>
    <row r="80" spans="1:52" ht="12.95" customHeight="1">
      <c r="A80" s="1446"/>
      <c r="B80" s="1446"/>
      <c r="C80" s="1446"/>
      <c r="D80" s="1446"/>
      <c r="E80" s="1446"/>
      <c r="F80" s="1446"/>
      <c r="G80" s="1446"/>
      <c r="H80" s="1446"/>
      <c r="I80" s="1446"/>
      <c r="J80" s="1446"/>
      <c r="K80" s="1446"/>
      <c r="L80" s="1446"/>
      <c r="M80" s="1446"/>
      <c r="N80" s="1446"/>
      <c r="O80" s="1446"/>
      <c r="P80" s="1446"/>
      <c r="Q80" s="1446"/>
      <c r="R80" s="1446"/>
      <c r="S80" s="1446"/>
      <c r="T80" s="1446"/>
      <c r="U80" s="1446"/>
      <c r="V80" s="1446"/>
      <c r="W80" s="1446"/>
      <c r="X80" s="1446"/>
      <c r="Y80" s="1446"/>
      <c r="Z80" s="1446"/>
      <c r="AA80" s="1446"/>
      <c r="AB80" s="1446"/>
      <c r="AC80" s="1446"/>
      <c r="AD80" s="1446"/>
      <c r="AE80" s="1446"/>
      <c r="AF80" s="1446"/>
      <c r="AG80" s="1446"/>
      <c r="AH80" s="1446"/>
      <c r="AI80" s="1446"/>
      <c r="AJ80" s="1446"/>
      <c r="AK80" s="1446"/>
      <c r="AL80" s="1446"/>
      <c r="AM80" s="1446"/>
      <c r="AN80" s="1446"/>
      <c r="AO80" s="1446"/>
      <c r="AP80" s="1446"/>
      <c r="AQ80" s="1446"/>
      <c r="AR80" s="1446"/>
      <c r="AS80" s="1446"/>
      <c r="AT80" s="1446"/>
      <c r="AU80" s="20"/>
      <c r="AV80" s="20"/>
      <c r="AW80" s="20"/>
      <c r="AX80" s="20"/>
      <c r="AY80" s="20"/>
      <c r="AZ80" s="20"/>
    </row>
    <row r="81" spans="1:52" ht="12.95" customHeight="1">
      <c r="A81" s="1446"/>
      <c r="B81" s="1446"/>
      <c r="C81" s="1446"/>
      <c r="D81" s="1446"/>
      <c r="E81" s="1446"/>
      <c r="F81" s="1446"/>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6"/>
      <c r="AC81" s="1446"/>
      <c r="AD81" s="1446"/>
      <c r="AE81" s="1446"/>
      <c r="AF81" s="1446"/>
      <c r="AG81" s="1446"/>
      <c r="AH81" s="1446"/>
      <c r="AI81" s="1446"/>
      <c r="AJ81" s="1446"/>
      <c r="AK81" s="1446"/>
      <c r="AL81" s="1446"/>
      <c r="AM81" s="1446"/>
      <c r="AN81" s="1446"/>
      <c r="AO81" s="1446"/>
      <c r="AP81" s="1446"/>
      <c r="AQ81" s="1446"/>
      <c r="AR81" s="1446"/>
      <c r="AS81" s="1446"/>
      <c r="AT81" s="144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2519</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2520</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6" t="s">
        <v>2521</v>
      </c>
      <c r="B89" s="1816"/>
      <c r="C89" s="1816"/>
      <c r="D89" s="1816"/>
      <c r="E89" s="1816"/>
      <c r="F89" s="1816"/>
      <c r="G89" s="1816"/>
      <c r="H89" s="1816"/>
      <c r="I89" s="1816"/>
      <c r="J89" s="1816"/>
      <c r="K89" s="1816"/>
      <c r="L89" s="1816"/>
      <c r="M89" s="1816"/>
      <c r="N89" s="1816"/>
      <c r="O89" s="1816"/>
      <c r="P89" s="1816"/>
      <c r="Q89" s="1816"/>
      <c r="R89" s="1816"/>
      <c r="S89" s="1816"/>
      <c r="T89" s="1816"/>
      <c r="U89" s="1816"/>
      <c r="V89" s="1816"/>
      <c r="W89" s="1816"/>
      <c r="X89" s="1816"/>
      <c r="Y89" s="1816"/>
      <c r="Z89" s="1816"/>
      <c r="AA89" s="1816"/>
      <c r="AB89" s="1816"/>
      <c r="AC89" s="1816"/>
      <c r="AD89" s="1816"/>
      <c r="AE89" s="1816"/>
      <c r="AF89" s="1816"/>
      <c r="AG89" s="1816"/>
      <c r="AH89" s="1816"/>
      <c r="AI89" s="1816"/>
      <c r="AJ89" s="1816"/>
      <c r="AK89" s="1816"/>
      <c r="AL89" s="1816"/>
      <c r="AM89" s="1816"/>
      <c r="AN89" s="1816"/>
      <c r="AO89" s="1816"/>
      <c r="AP89" s="1816"/>
      <c r="AQ89" s="1816"/>
      <c r="AR89" s="1816"/>
      <c r="AS89" s="1816"/>
      <c r="AT89" s="1816"/>
      <c r="AU89" s="17"/>
      <c r="AV89" s="17"/>
      <c r="AW89" s="17"/>
      <c r="AX89" s="17"/>
      <c r="AY89" s="17"/>
      <c r="AZ89" s="20"/>
    </row>
    <row r="90" spans="1:52" ht="12.95" customHeight="1">
      <c r="A90" s="1816"/>
      <c r="B90" s="1816"/>
      <c r="C90" s="1816"/>
      <c r="D90" s="1816"/>
      <c r="E90" s="1816"/>
      <c r="F90" s="1816"/>
      <c r="G90" s="1816"/>
      <c r="H90" s="1816"/>
      <c r="I90" s="1816"/>
      <c r="J90" s="1816"/>
      <c r="K90" s="1816"/>
      <c r="L90" s="1816"/>
      <c r="M90" s="1816"/>
      <c r="N90" s="1816"/>
      <c r="O90" s="1816"/>
      <c r="P90" s="1816"/>
      <c r="Q90" s="1816"/>
      <c r="R90" s="1816"/>
      <c r="S90" s="1816"/>
      <c r="T90" s="1816"/>
      <c r="U90" s="1816"/>
      <c r="V90" s="1816"/>
      <c r="W90" s="1816"/>
      <c r="X90" s="1816"/>
      <c r="Y90" s="1816"/>
      <c r="Z90" s="1816"/>
      <c r="AA90" s="1816"/>
      <c r="AB90" s="1816"/>
      <c r="AC90" s="1816"/>
      <c r="AD90" s="1816"/>
      <c r="AE90" s="1816"/>
      <c r="AF90" s="1816"/>
      <c r="AG90" s="1816"/>
      <c r="AH90" s="1816"/>
      <c r="AI90" s="1816"/>
      <c r="AJ90" s="1816"/>
      <c r="AK90" s="1816"/>
      <c r="AL90" s="1816"/>
      <c r="AM90" s="1816"/>
      <c r="AN90" s="1816"/>
      <c r="AO90" s="1816"/>
      <c r="AP90" s="1816"/>
      <c r="AQ90" s="1816"/>
      <c r="AR90" s="1816"/>
      <c r="AS90" s="1816"/>
      <c r="AT90" s="181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7" t="s">
        <v>2522</v>
      </c>
      <c r="B92" s="1817"/>
      <c r="C92" s="1817"/>
      <c r="D92" s="1817"/>
      <c r="E92" s="1817"/>
      <c r="F92" s="1817"/>
      <c r="G92" s="1817"/>
      <c r="H92" s="1817"/>
      <c r="I92" s="1817"/>
      <c r="J92" s="1817"/>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c r="AL92" s="1817"/>
      <c r="AM92" s="1817"/>
      <c r="AN92" s="1817"/>
      <c r="AO92" s="1817"/>
      <c r="AP92" s="1817"/>
      <c r="AQ92" s="1817"/>
      <c r="AR92" s="1817"/>
      <c r="AS92" s="1817"/>
      <c r="AT92" s="1817"/>
      <c r="AU92" s="20"/>
      <c r="AV92" s="20"/>
      <c r="AW92" s="20"/>
      <c r="AX92" s="20"/>
      <c r="AY92" s="20"/>
      <c r="AZ92" s="20"/>
    </row>
    <row r="93" spans="1:52" ht="12.95" customHeight="1">
      <c r="A93" s="1817"/>
      <c r="B93" s="1817"/>
      <c r="C93" s="1817"/>
      <c r="D93" s="1817"/>
      <c r="E93" s="1817"/>
      <c r="F93" s="1817"/>
      <c r="G93" s="1817"/>
      <c r="H93" s="1817"/>
      <c r="I93" s="1817"/>
      <c r="J93" s="1817"/>
      <c r="K93" s="1817"/>
      <c r="L93" s="1817"/>
      <c r="M93" s="1817"/>
      <c r="N93" s="1817"/>
      <c r="O93" s="1817"/>
      <c r="P93" s="1817"/>
      <c r="Q93" s="1817"/>
      <c r="R93" s="1817"/>
      <c r="S93" s="1817"/>
      <c r="T93" s="1817"/>
      <c r="U93" s="1817"/>
      <c r="V93" s="1817"/>
      <c r="W93" s="1817"/>
      <c r="X93" s="1817"/>
      <c r="Y93" s="1817"/>
      <c r="Z93" s="1817"/>
      <c r="AA93" s="1817"/>
      <c r="AB93" s="1817"/>
      <c r="AC93" s="1817"/>
      <c r="AD93" s="1817"/>
      <c r="AE93" s="1817"/>
      <c r="AF93" s="1817"/>
      <c r="AG93" s="1817"/>
      <c r="AH93" s="1817"/>
      <c r="AI93" s="1817"/>
      <c r="AJ93" s="1817"/>
      <c r="AK93" s="1817"/>
      <c r="AL93" s="1817"/>
      <c r="AM93" s="1817"/>
      <c r="AN93" s="1817"/>
      <c r="AO93" s="1817"/>
      <c r="AP93" s="1817"/>
      <c r="AQ93" s="1817"/>
      <c r="AR93" s="1817"/>
      <c r="AS93" s="1817"/>
      <c r="AT93" s="1817"/>
      <c r="AU93" s="20"/>
      <c r="AV93" s="20"/>
      <c r="AW93" s="20"/>
      <c r="AX93" s="20"/>
      <c r="AY93" s="20"/>
      <c r="AZ93" s="20"/>
    </row>
    <row r="94" spans="1:52" ht="12.95" customHeight="1">
      <c r="A94" s="1817"/>
      <c r="B94" s="1817"/>
      <c r="C94" s="1817"/>
      <c r="D94" s="1817"/>
      <c r="E94" s="1817"/>
      <c r="F94" s="1817"/>
      <c r="G94" s="1817"/>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c r="AL94" s="1817"/>
      <c r="AM94" s="1817"/>
      <c r="AN94" s="1817"/>
      <c r="AO94" s="1817"/>
      <c r="AP94" s="1817"/>
      <c r="AQ94" s="1817"/>
      <c r="AR94" s="1817"/>
      <c r="AS94" s="1817"/>
      <c r="AT94" s="1817"/>
      <c r="AU94" s="20"/>
      <c r="AV94" s="20"/>
      <c r="AW94" s="20"/>
      <c r="AX94" s="20"/>
      <c r="AY94" s="20"/>
      <c r="AZ94" s="20"/>
    </row>
    <row r="95" spans="1:52" ht="12.95" customHeight="1">
      <c r="A95" s="1817"/>
      <c r="B95" s="1817"/>
      <c r="C95" s="1817"/>
      <c r="D95" s="1817"/>
      <c r="E95" s="1817"/>
      <c r="F95" s="1817"/>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c r="AL95" s="1817"/>
      <c r="AM95" s="1817"/>
      <c r="AN95" s="1817"/>
      <c r="AO95" s="1817"/>
      <c r="AP95" s="1817"/>
      <c r="AQ95" s="1817"/>
      <c r="AR95" s="1817"/>
      <c r="AS95" s="1817"/>
      <c r="AT95" s="1817"/>
      <c r="AU95" s="20"/>
      <c r="AV95" s="20"/>
      <c r="AW95" s="20"/>
      <c r="AX95" s="20"/>
      <c r="AY95" s="20"/>
      <c r="AZ95" s="20"/>
    </row>
    <row r="96" spans="1:52" ht="12.95" customHeight="1">
      <c r="A96" s="1817"/>
      <c r="B96" s="1817"/>
      <c r="C96" s="1817"/>
      <c r="D96" s="1817"/>
      <c r="E96" s="1817"/>
      <c r="F96" s="1817"/>
      <c r="G96" s="1817"/>
      <c r="H96" s="1817"/>
      <c r="I96" s="1817"/>
      <c r="J96" s="1817"/>
      <c r="K96" s="1817"/>
      <c r="L96" s="1817"/>
      <c r="M96" s="1817"/>
      <c r="N96" s="1817"/>
      <c r="O96" s="1817"/>
      <c r="P96" s="1817"/>
      <c r="Q96" s="1817"/>
      <c r="R96" s="1817"/>
      <c r="S96" s="1817"/>
      <c r="T96" s="1817"/>
      <c r="U96" s="1817"/>
      <c r="V96" s="1817"/>
      <c r="W96" s="1817"/>
      <c r="X96" s="1817"/>
      <c r="Y96" s="1817"/>
      <c r="Z96" s="1817"/>
      <c r="AA96" s="1817"/>
      <c r="AB96" s="1817"/>
      <c r="AC96" s="1817"/>
      <c r="AD96" s="1817"/>
      <c r="AE96" s="1817"/>
      <c r="AF96" s="1817"/>
      <c r="AG96" s="1817"/>
      <c r="AH96" s="1817"/>
      <c r="AI96" s="1817"/>
      <c r="AJ96" s="1817"/>
      <c r="AK96" s="1817"/>
      <c r="AL96" s="1817"/>
      <c r="AM96" s="1817"/>
      <c r="AN96" s="1817"/>
      <c r="AO96" s="1817"/>
      <c r="AP96" s="1817"/>
      <c r="AQ96" s="1817"/>
      <c r="AR96" s="1817"/>
      <c r="AS96" s="1817"/>
      <c r="AT96" s="1817"/>
      <c r="AU96" s="20"/>
      <c r="AV96" s="20"/>
      <c r="AW96" s="20"/>
      <c r="AX96" s="20"/>
      <c r="AY96" s="20"/>
      <c r="AZ96" s="20"/>
    </row>
    <row r="97" spans="1:52" ht="12.95" customHeight="1">
      <c r="A97" s="1817"/>
      <c r="B97" s="1817"/>
      <c r="C97" s="1817"/>
      <c r="D97" s="1817"/>
      <c r="E97" s="1817"/>
      <c r="F97" s="1817"/>
      <c r="G97" s="1817"/>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c r="AL97" s="1817"/>
      <c r="AM97" s="1817"/>
      <c r="AN97" s="1817"/>
      <c r="AO97" s="1817"/>
      <c r="AP97" s="1817"/>
      <c r="AQ97" s="1817"/>
      <c r="AR97" s="1817"/>
      <c r="AS97" s="1817"/>
      <c r="AT97" s="1817"/>
      <c r="AU97" s="20"/>
      <c r="AV97" s="20"/>
      <c r="AW97" s="20"/>
      <c r="AX97" s="20"/>
      <c r="AY97" s="20"/>
      <c r="AZ97" s="20"/>
    </row>
    <row r="98" spans="1:52" ht="12.95" customHeight="1">
      <c r="A98" s="1817"/>
      <c r="B98" s="1817"/>
      <c r="C98" s="1817"/>
      <c r="D98" s="1817"/>
      <c r="E98" s="1817"/>
      <c r="F98" s="1817"/>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1817"/>
      <c r="AM98" s="1817"/>
      <c r="AN98" s="1817"/>
      <c r="AO98" s="1817"/>
      <c r="AP98" s="1817"/>
      <c r="AQ98" s="1817"/>
      <c r="AR98" s="1817"/>
      <c r="AS98" s="1817"/>
      <c r="AT98" s="181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2523</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2524</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06" t="s">
        <v>2787</v>
      </c>
      <c r="H113" s="1806"/>
      <c r="I113" s="3" t="s">
        <v>182</v>
      </c>
      <c r="L113" s="1806" t="s">
        <v>2788</v>
      </c>
      <c r="M113" s="1806"/>
      <c r="N113" s="1806"/>
      <c r="O113" s="1806"/>
      <c r="P113" s="1801" t="s">
        <v>2526</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1" t="s">
        <v>2644</v>
      </c>
      <c r="D115" s="1821"/>
      <c r="E115" s="1821"/>
      <c r="F115" s="1821"/>
      <c r="G115" s="1821"/>
      <c r="H115" s="1821"/>
      <c r="I115" s="1821"/>
      <c r="J115" s="1821"/>
      <c r="K115" s="182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06"/>
      <c r="Z117" s="1806"/>
      <c r="AA117" s="1806"/>
      <c r="AB117" s="1806"/>
      <c r="AC117" s="1806"/>
      <c r="AD117" s="1806"/>
      <c r="AE117" s="1806"/>
      <c r="AF117" s="1806"/>
      <c r="AG117" s="1806"/>
      <c r="AH117" s="1806"/>
      <c r="AI117" s="1806"/>
      <c r="AJ117" s="1806"/>
      <c r="AK117" s="1806"/>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06" t="s">
        <v>2646</v>
      </c>
      <c r="Z120" s="1806"/>
      <c r="AA120" s="1806"/>
      <c r="AB120" s="1806"/>
      <c r="AC120" s="1806"/>
      <c r="AD120" s="1806"/>
      <c r="AE120" s="1806"/>
      <c r="AF120" s="1806"/>
      <c r="AG120" s="1806"/>
      <c r="AH120" s="1806"/>
      <c r="AI120" s="1806"/>
      <c r="AJ120" s="1806"/>
      <c r="AK120" s="180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06" t="s">
        <v>2789</v>
      </c>
      <c r="Z123" s="1806"/>
      <c r="AA123" s="1806"/>
      <c r="AB123" s="1806"/>
      <c r="AC123" s="1806"/>
      <c r="AD123" s="1806"/>
      <c r="AE123" s="1806"/>
      <c r="AF123" s="1806"/>
      <c r="AG123" s="1806"/>
      <c r="AH123" s="1806"/>
      <c r="AI123" s="1806"/>
      <c r="AJ123" s="1806"/>
      <c r="AK123" s="180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8" t="s">
        <v>2634</v>
      </c>
      <c r="P153" s="1448"/>
      <c r="Q153" s="1448"/>
      <c r="R153" s="1448"/>
      <c r="S153" s="1448"/>
      <c r="T153" s="1448"/>
      <c r="U153" s="1448"/>
      <c r="V153" s="1448"/>
      <c r="W153" s="1448"/>
      <c r="X153" s="1448"/>
      <c r="Y153" s="1448"/>
      <c r="Z153" s="1448"/>
      <c r="AA153" s="1448"/>
      <c r="AB153" s="1448"/>
      <c r="AC153" s="1448"/>
      <c r="AD153" s="1448"/>
      <c r="AE153" s="1448"/>
      <c r="AF153" s="1448"/>
      <c r="AG153" s="1448"/>
      <c r="AH153" s="1448"/>
    </row>
    <row r="154" spans="1:72" ht="12.95" customHeight="1">
      <c r="D154" s="325" t="s">
        <v>442</v>
      </c>
      <c r="O154" s="1489" t="s">
        <v>2635</v>
      </c>
      <c r="P154" s="1489"/>
      <c r="Q154" s="1489"/>
      <c r="R154" s="1489"/>
      <c r="S154" s="1489"/>
      <c r="T154" s="1489"/>
      <c r="U154" s="1489"/>
      <c r="V154" s="1489"/>
      <c r="W154" s="1489"/>
      <c r="X154" s="1489"/>
      <c r="Y154" s="1489"/>
      <c r="Z154" s="1489"/>
      <c r="AA154" s="1489"/>
      <c r="AB154" s="1489"/>
      <c r="AC154" s="1489"/>
      <c r="AD154" s="1489"/>
      <c r="AE154" s="1489"/>
      <c r="AF154" s="1489"/>
      <c r="AG154" s="1489"/>
      <c r="AH154" s="1489"/>
    </row>
    <row r="155" spans="1:72" ht="12.95" customHeight="1">
      <c r="D155" s="8" t="s">
        <v>444</v>
      </c>
      <c r="F155" s="8"/>
      <c r="G155" s="8"/>
      <c r="H155" s="8"/>
      <c r="I155" s="8"/>
      <c r="J155" s="8"/>
      <c r="K155" s="8"/>
      <c r="L155" s="8"/>
      <c r="M155" s="8"/>
      <c r="N155" s="8"/>
      <c r="O155" s="1796" t="s">
        <v>443</v>
      </c>
      <c r="P155" s="1796"/>
      <c r="Q155" s="1796"/>
      <c r="R155" s="1796"/>
      <c r="S155" s="1796"/>
      <c r="T155" s="1796"/>
      <c r="U155" s="1796"/>
      <c r="V155" s="1796"/>
      <c r="W155" s="1796"/>
      <c r="X155" s="1796"/>
      <c r="Y155" s="1796"/>
      <c r="Z155" s="1796"/>
      <c r="AA155" s="1796"/>
      <c r="AB155" s="1796"/>
      <c r="AC155" s="1796"/>
      <c r="AD155" s="1796"/>
      <c r="AE155" s="1796"/>
      <c r="AF155" s="1796"/>
      <c r="AG155" s="1796"/>
      <c r="AH155" s="1796"/>
    </row>
    <row r="156" spans="1:72" ht="12.95" customHeight="1">
      <c r="D156" t="s">
        <v>314</v>
      </c>
      <c r="O156" s="1406" t="s">
        <v>2636</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308</v>
      </c>
    </row>
    <row r="157" spans="1:72" ht="12.95" customHeight="1">
      <c r="D157" t="s">
        <v>315</v>
      </c>
      <c r="O157" s="1448" t="s">
        <v>2637</v>
      </c>
      <c r="P157" s="1448"/>
      <c r="Q157" s="1448"/>
      <c r="R157" s="1448"/>
      <c r="S157" s="1448"/>
      <c r="T157" s="1448"/>
      <c r="U157" s="1448"/>
      <c r="V157" s="1448"/>
      <c r="W157" s="1448"/>
      <c r="X157" s="1448"/>
      <c r="Y157" s="8"/>
      <c r="Z157" s="8"/>
      <c r="AA157" s="8"/>
      <c r="AB157" s="8"/>
      <c r="AC157" s="8"/>
      <c r="AD157" s="8"/>
      <c r="AE157" s="8"/>
      <c r="AF157" s="8"/>
      <c r="BN157" s="23" t="s">
        <v>645</v>
      </c>
      <c r="BT157" t="s">
        <v>485</v>
      </c>
    </row>
    <row r="158" spans="1:72" ht="12.95" customHeight="1">
      <c r="D158" t="s">
        <v>316</v>
      </c>
      <c r="O158" s="1797">
        <v>92780</v>
      </c>
      <c r="P158" s="1797"/>
      <c r="Q158" s="1797"/>
      <c r="R158" s="1797"/>
      <c r="S158" s="9"/>
      <c r="T158" s="9"/>
      <c r="U158" s="9"/>
      <c r="V158" s="9"/>
      <c r="W158" s="9"/>
      <c r="X158" s="9"/>
      <c r="Y158" s="9"/>
      <c r="Z158" s="9"/>
      <c r="AA158" s="9"/>
      <c r="AB158" s="9"/>
      <c r="AC158" s="9"/>
      <c r="AD158" s="9"/>
      <c r="AE158" s="9"/>
      <c r="AF158" s="9"/>
      <c r="BN158" s="23" t="s">
        <v>646</v>
      </c>
      <c r="BT158" t="s">
        <v>486</v>
      </c>
    </row>
    <row r="159" spans="1:72" ht="12.95" customHeight="1">
      <c r="D159" t="s">
        <v>317</v>
      </c>
      <c r="O159" s="1799" t="s">
        <v>2638</v>
      </c>
      <c r="P159" s="1799"/>
      <c r="Q159" s="1799"/>
      <c r="R159" s="1799"/>
      <c r="S159" s="1799"/>
      <c r="T159" s="1799"/>
      <c r="V159" s="97" t="s">
        <v>272</v>
      </c>
      <c r="W159" s="1798"/>
      <c r="X159" s="1798"/>
      <c r="Y159" s="10"/>
      <c r="Z159" s="10"/>
      <c r="AA159" s="10"/>
      <c r="AB159" s="10"/>
      <c r="AC159" s="10"/>
      <c r="AD159" s="10"/>
      <c r="AE159" s="10"/>
      <c r="AF159" s="10"/>
      <c r="BN159" s="23" t="s">
        <v>340</v>
      </c>
      <c r="BT159" t="s">
        <v>487</v>
      </c>
    </row>
    <row r="160" spans="1:72" ht="12.95" customHeight="1">
      <c r="D160" t="s">
        <v>318</v>
      </c>
      <c r="O160" s="1799"/>
      <c r="P160" s="1799"/>
      <c r="Q160" s="1799"/>
      <c r="R160" s="1799"/>
      <c r="S160" s="1799"/>
      <c r="T160" s="1799"/>
      <c r="U160" s="10"/>
      <c r="V160" s="10"/>
      <c r="W160" s="10"/>
      <c r="X160" s="10"/>
      <c r="Y160" s="10"/>
      <c r="Z160" s="10"/>
      <c r="AA160" s="10"/>
      <c r="AB160" s="10"/>
      <c r="AC160" s="10"/>
      <c r="AD160" s="10"/>
      <c r="AE160" s="10"/>
      <c r="AF160" s="10"/>
      <c r="BN160" s="23" t="s">
        <v>669</v>
      </c>
      <c r="BT160" t="s">
        <v>488</v>
      </c>
    </row>
    <row r="161" spans="1:72" ht="12.95" customHeight="1">
      <c r="D161" t="s">
        <v>319</v>
      </c>
      <c r="O161" s="1789" t="s">
        <v>2639</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2" t="s">
        <v>2620</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66" t="s">
        <v>548</v>
      </c>
      <c r="B169" s="1466"/>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1466"/>
      <c r="AK169" s="1466"/>
      <c r="AL169" s="1466"/>
      <c r="AM169" s="1466"/>
      <c r="AN169" s="1466"/>
      <c r="AO169" s="1466"/>
      <c r="AP169" s="1466"/>
      <c r="AQ169" s="1466"/>
      <c r="AR169" s="1466"/>
      <c r="AS169" s="1466"/>
      <c r="AT169" s="1466"/>
      <c r="AU169" s="95"/>
      <c r="AV169" s="95"/>
      <c r="AW169" s="95"/>
      <c r="AX169" s="95"/>
      <c r="AY169" s="95"/>
      <c r="BN169" s="23" t="s">
        <v>682</v>
      </c>
      <c r="BT169" t="s">
        <v>497</v>
      </c>
    </row>
    <row r="170" spans="1:72" ht="12.95" customHeight="1">
      <c r="A170" s="1466"/>
      <c r="B170" s="1466"/>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c r="AA170" s="1466"/>
      <c r="AB170" s="1466"/>
      <c r="AC170" s="1466"/>
      <c r="AD170" s="1466"/>
      <c r="AE170" s="1466"/>
      <c r="AF170" s="1466"/>
      <c r="AG170" s="1466"/>
      <c r="AH170" s="1466"/>
      <c r="AI170" s="1466"/>
      <c r="AJ170" s="1466"/>
      <c r="AK170" s="1466"/>
      <c r="AL170" s="1466"/>
      <c r="AM170" s="1466"/>
      <c r="AN170" s="1466"/>
      <c r="AO170" s="1466"/>
      <c r="AP170" s="1466"/>
      <c r="AQ170" s="1466"/>
      <c r="AR170" s="1466"/>
      <c r="AS170" s="1466"/>
      <c r="AT170" s="1466"/>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5" t="s">
        <v>372</v>
      </c>
      <c r="K173" s="1795"/>
      <c r="L173" s="1795"/>
      <c r="M173" s="1795"/>
      <c r="N173" s="1795"/>
      <c r="O173" s="1795"/>
      <c r="P173" s="1795"/>
      <c r="Q173" s="1795"/>
      <c r="R173" s="1795"/>
      <c r="S173" s="1795"/>
      <c r="U173" s="25"/>
      <c r="X173" s="25"/>
      <c r="BB173" s="3" t="s">
        <v>308</v>
      </c>
      <c r="BN173" s="23" t="s">
        <v>215</v>
      </c>
      <c r="BT173" t="s">
        <v>501</v>
      </c>
    </row>
    <row r="174" spans="1:72" ht="12.95" customHeight="1">
      <c r="C174" s="24"/>
      <c r="D174" s="3" t="s">
        <v>1309</v>
      </c>
      <c r="J174" s="1406" t="s">
        <v>2417</v>
      </c>
      <c r="K174" s="1406"/>
      <c r="L174" s="1406"/>
      <c r="M174" s="1406"/>
      <c r="N174" s="1406"/>
      <c r="O174" s="1406"/>
      <c r="P174" s="1406"/>
      <c r="Q174" s="1406"/>
      <c r="R174" s="1406"/>
      <c r="S174" s="1406"/>
      <c r="T174" s="1406"/>
      <c r="U174" s="1406"/>
      <c r="V174" s="1406"/>
      <c r="W174" s="1406"/>
      <c r="X174" s="1406"/>
      <c r="Y174" s="1406"/>
      <c r="Z174" s="1406"/>
      <c r="AA174" s="1406"/>
      <c r="AB174" s="1406"/>
      <c r="BB174" t="s">
        <v>2270</v>
      </c>
      <c r="BN174" s="23" t="s">
        <v>217</v>
      </c>
      <c r="BT174" t="s">
        <v>502</v>
      </c>
    </row>
    <row r="175" spans="1:72" ht="12.95" customHeight="1">
      <c r="C175" s="8"/>
      <c r="D175" s="3" t="s">
        <v>323</v>
      </c>
      <c r="O175" s="27"/>
      <c r="U175" s="1405" t="s">
        <v>678</v>
      </c>
      <c r="V175" s="1405"/>
      <c r="BB175" t="s">
        <v>2234</v>
      </c>
      <c r="BN175" s="23" t="s">
        <v>218</v>
      </c>
      <c r="BT175" t="s">
        <v>503</v>
      </c>
    </row>
    <row r="176" spans="1:72" ht="12.95" customHeight="1">
      <c r="C176" s="8"/>
      <c r="D176" s="26"/>
      <c r="E176" t="s">
        <v>305</v>
      </c>
      <c r="O176" s="27"/>
      <c r="P176" t="s">
        <v>2392</v>
      </c>
      <c r="T176" s="27" t="s">
        <v>306</v>
      </c>
      <c r="U176" s="1459"/>
      <c r="V176" s="1459"/>
      <c r="W176" s="1" t="s">
        <v>307</v>
      </c>
      <c r="X176" s="1818"/>
      <c r="Y176" s="1818"/>
      <c r="BB176" t="s">
        <v>2271</v>
      </c>
      <c r="BN176" s="23" t="s">
        <v>220</v>
      </c>
      <c r="BT176" t="s">
        <v>504</v>
      </c>
    </row>
    <row r="177" spans="1:72" ht="12.95" customHeight="1">
      <c r="C177" s="24"/>
      <c r="D177" t="s">
        <v>250</v>
      </c>
      <c r="R177" s="1405" t="s">
        <v>678</v>
      </c>
      <c r="S177" s="1405"/>
      <c r="BB177" t="s">
        <v>2575</v>
      </c>
      <c r="BN177" s="23" t="s">
        <v>221</v>
      </c>
      <c r="BT177" t="s">
        <v>505</v>
      </c>
    </row>
    <row r="178" spans="1:72" ht="12.95" customHeight="1">
      <c r="C178" s="24"/>
      <c r="D178" s="3" t="s">
        <v>1310</v>
      </c>
      <c r="AA178" t="s">
        <v>2392</v>
      </c>
      <c r="AE178" s="27" t="s">
        <v>306</v>
      </c>
      <c r="AF178" s="1637"/>
      <c r="AG178" s="1637"/>
      <c r="AH178" s="1" t="s">
        <v>307</v>
      </c>
      <c r="AI178" s="1688"/>
      <c r="AJ178" s="1688"/>
      <c r="AK178" s="1688"/>
      <c r="BB178" t="s">
        <v>2576</v>
      </c>
      <c r="BN178" s="23" t="s">
        <v>222</v>
      </c>
      <c r="BT178" t="s">
        <v>53</v>
      </c>
    </row>
    <row r="179" spans="1:72" ht="12.95" customHeight="1">
      <c r="C179" s="24"/>
      <c r="BN179" s="23" t="s">
        <v>223</v>
      </c>
      <c r="BT179" t="s">
        <v>54</v>
      </c>
    </row>
    <row r="180" spans="1:72" ht="12.95" customHeight="1">
      <c r="C180" s="24"/>
      <c r="D180" t="s">
        <v>2393</v>
      </c>
      <c r="X180" s="1405" t="s">
        <v>678</v>
      </c>
      <c r="Y180" s="1405"/>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1" t="str">
        <f>H18</f>
        <v>Viscar Terrace Apartments</v>
      </c>
      <c r="J184" s="1451"/>
      <c r="K184" s="1451"/>
      <c r="L184" s="1451"/>
      <c r="M184" s="1451"/>
      <c r="N184" s="1451"/>
      <c r="O184" s="1451"/>
      <c r="P184" s="1451"/>
      <c r="Q184" s="1451"/>
      <c r="R184" s="1451"/>
      <c r="S184" s="1451"/>
      <c r="T184" s="1451"/>
      <c r="U184" s="1451"/>
      <c r="V184" s="1451"/>
      <c r="W184" s="1451"/>
      <c r="X184" s="1451"/>
      <c r="Y184" s="1451"/>
      <c r="Z184" s="1451"/>
      <c r="AA184" s="1451"/>
      <c r="AB184" s="1451"/>
      <c r="AC184" s="1451"/>
      <c r="AD184" s="1451"/>
      <c r="AE184" s="1451"/>
      <c r="BC184" t="s">
        <v>596</v>
      </c>
      <c r="BN184" s="23" t="s">
        <v>231</v>
      </c>
      <c r="BT184" t="s">
        <v>62</v>
      </c>
    </row>
    <row r="185" spans="1:72" ht="12.95" customHeight="1">
      <c r="C185" s="21"/>
      <c r="D185" t="s">
        <v>588</v>
      </c>
      <c r="I185" s="1407" t="s">
        <v>2640</v>
      </c>
      <c r="J185" s="1407"/>
      <c r="K185" s="1407"/>
      <c r="L185" s="1407"/>
      <c r="M185" s="1407"/>
      <c r="N185" s="1407"/>
      <c r="O185" s="1407"/>
      <c r="P185" s="1407"/>
      <c r="Q185" s="1407"/>
      <c r="R185" s="1407"/>
      <c r="S185" s="1407"/>
      <c r="T185" s="1407"/>
      <c r="U185" s="1407"/>
      <c r="V185" s="1407"/>
      <c r="W185" s="1407"/>
      <c r="X185" s="1407"/>
      <c r="Y185" s="1407"/>
      <c r="Z185" s="1407"/>
      <c r="AA185" s="1407"/>
      <c r="AB185" s="1407"/>
      <c r="AC185" s="1407"/>
      <c r="AD185" s="1407"/>
      <c r="AE185" s="1407"/>
      <c r="BC185" t="s">
        <v>597</v>
      </c>
      <c r="BN185" s="23" t="s">
        <v>232</v>
      </c>
      <c r="BT185" t="s">
        <v>63</v>
      </c>
    </row>
    <row r="186" spans="1:72" ht="12.95" customHeight="1">
      <c r="C186" s="21"/>
      <c r="E186" t="s">
        <v>168</v>
      </c>
      <c r="BN186" s="23" t="s">
        <v>233</v>
      </c>
      <c r="BT186" t="s">
        <v>64</v>
      </c>
    </row>
    <row r="187" spans="1:72" ht="12.95" customHeight="1">
      <c r="C187" s="21"/>
      <c r="E187" s="1810"/>
      <c r="F187" s="1810"/>
      <c r="G187" s="1810"/>
      <c r="H187" s="1810"/>
      <c r="I187" s="1810"/>
      <c r="J187" s="1810"/>
      <c r="K187" s="1810"/>
      <c r="L187" s="1810"/>
      <c r="M187" s="1810"/>
      <c r="N187" s="1810"/>
      <c r="O187" s="1810"/>
      <c r="P187" s="1810"/>
      <c r="Q187" s="1810"/>
      <c r="R187" s="1810"/>
      <c r="S187" s="1810"/>
      <c r="T187" s="1810"/>
      <c r="U187" s="1810"/>
      <c r="V187" s="1810"/>
      <c r="W187" s="1810"/>
      <c r="X187" s="1810"/>
      <c r="Y187" s="1810"/>
      <c r="Z187" s="1810"/>
      <c r="AA187" s="1810"/>
      <c r="AB187" s="1810"/>
      <c r="AC187" s="1810"/>
      <c r="AD187" s="1810"/>
      <c r="AE187" s="1810"/>
      <c r="BN187" s="23" t="s">
        <v>234</v>
      </c>
      <c r="BT187" t="s">
        <v>65</v>
      </c>
    </row>
    <row r="188" spans="1:72" ht="12.95" customHeight="1">
      <c r="C188" s="21"/>
      <c r="E188" s="1811"/>
      <c r="F188" s="1811"/>
      <c r="G188" s="1811"/>
      <c r="H188" s="1811"/>
      <c r="I188" s="1811"/>
      <c r="J188" s="1811"/>
      <c r="K188" s="1811"/>
      <c r="L188" s="1811"/>
      <c r="M188" s="1811"/>
      <c r="N188" s="1811"/>
      <c r="O188" s="1811"/>
      <c r="P188" s="1811"/>
      <c r="Q188" s="1811"/>
      <c r="R188" s="1811"/>
      <c r="S188" s="1811"/>
      <c r="T188" s="1811"/>
      <c r="U188" s="1811"/>
      <c r="V188" s="1811"/>
      <c r="W188" s="1811"/>
      <c r="X188" s="1811"/>
      <c r="Y188" s="1811"/>
      <c r="Z188" s="1811"/>
      <c r="AA188" s="1811"/>
      <c r="AB188" s="1811"/>
      <c r="AC188" s="1811"/>
      <c r="AD188" s="1811"/>
      <c r="AE188" s="1811"/>
      <c r="BN188" s="23" t="s">
        <v>236</v>
      </c>
      <c r="BT188" t="s">
        <v>66</v>
      </c>
    </row>
    <row r="189" spans="1:72" ht="12.95" customHeight="1">
      <c r="C189" s="21"/>
      <c r="D189" t="s">
        <v>589</v>
      </c>
      <c r="I189" s="1406" t="s">
        <v>2637</v>
      </c>
      <c r="J189" s="1406"/>
      <c r="K189" s="1406"/>
      <c r="L189" s="1406"/>
      <c r="M189" s="1406"/>
      <c r="N189" s="1406"/>
      <c r="O189" s="1406"/>
      <c r="P189" s="1406"/>
      <c r="Q189" t="s">
        <v>591</v>
      </c>
      <c r="T189" s="1406" t="s">
        <v>67</v>
      </c>
      <c r="U189" s="1406"/>
      <c r="V189" s="1406"/>
      <c r="W189" s="1406"/>
      <c r="X189" s="1406"/>
      <c r="Y189" s="1406"/>
      <c r="Z189" s="1406"/>
      <c r="AA189" s="1406"/>
      <c r="AB189" s="1406"/>
      <c r="AC189" s="1406"/>
      <c r="AD189" s="1406"/>
      <c r="AE189" s="1406"/>
      <c r="BC189" t="s">
        <v>308</v>
      </c>
      <c r="BH189" s="3" t="s">
        <v>600</v>
      </c>
      <c r="BN189" s="23" t="s">
        <v>237</v>
      </c>
      <c r="BT189" t="s">
        <v>67</v>
      </c>
    </row>
    <row r="190" spans="1:72" ht="12.95" customHeight="1">
      <c r="C190" s="21"/>
      <c r="D190" t="s">
        <v>592</v>
      </c>
      <c r="I190" s="1407">
        <v>92562</v>
      </c>
      <c r="J190" s="1407"/>
      <c r="K190" s="1407"/>
      <c r="L190" s="1407"/>
      <c r="M190" s="1407"/>
      <c r="N190" s="1407"/>
      <c r="O190" t="s">
        <v>594</v>
      </c>
      <c r="T190" s="1807">
        <v>432.06</v>
      </c>
      <c r="U190" s="1807"/>
      <c r="V190" s="1807"/>
      <c r="W190" s="1807"/>
      <c r="X190" s="1807"/>
      <c r="Y190" s="1807"/>
      <c r="Z190" s="1807"/>
      <c r="AA190" s="1807"/>
      <c r="AB190" s="1807"/>
      <c r="AC190" s="1807"/>
      <c r="AD190" s="1807"/>
      <c r="AE190" s="1807"/>
      <c r="BC190" t="s">
        <v>1066</v>
      </c>
      <c r="BH190" t="s">
        <v>1066</v>
      </c>
      <c r="BN190" s="23" t="s">
        <v>644</v>
      </c>
      <c r="BT190" t="s">
        <v>68</v>
      </c>
    </row>
    <row r="191" spans="1:72" ht="12.95" customHeight="1">
      <c r="C191" s="21"/>
      <c r="D191" t="s">
        <v>471</v>
      </c>
      <c r="N191" s="1809" t="s">
        <v>2641</v>
      </c>
      <c r="O191" s="1810"/>
      <c r="P191" s="1810"/>
      <c r="Q191" s="1810"/>
      <c r="R191" s="1810"/>
      <c r="S191" s="1810"/>
      <c r="T191" s="1810"/>
      <c r="U191" s="1810"/>
      <c r="V191" s="1810"/>
      <c r="W191" s="1810"/>
      <c r="X191" s="1810"/>
      <c r="Y191" s="1810"/>
      <c r="Z191" s="1810"/>
      <c r="AA191" s="1810"/>
      <c r="AB191" s="1810"/>
      <c r="AC191" s="1810"/>
      <c r="AD191" s="1810"/>
      <c r="AE191" s="1810"/>
      <c r="BC191" t="s">
        <v>1065</v>
      </c>
      <c r="BH191" t="s">
        <v>1065</v>
      </c>
      <c r="BN191" s="23" t="s">
        <v>698</v>
      </c>
      <c r="BT191" t="s">
        <v>737</v>
      </c>
    </row>
    <row r="192" spans="1:72" ht="12.95" customHeight="1">
      <c r="C192" s="21"/>
      <c r="M192" s="40"/>
      <c r="N192" s="1811"/>
      <c r="O192" s="1811"/>
      <c r="P192" s="1811"/>
      <c r="Q192" s="1811"/>
      <c r="R192" s="1811"/>
      <c r="S192" s="1811"/>
      <c r="T192" s="1811"/>
      <c r="U192" s="1811"/>
      <c r="V192" s="1811"/>
      <c r="W192" s="1811"/>
      <c r="X192" s="1811"/>
      <c r="Y192" s="1811"/>
      <c r="Z192" s="1811"/>
      <c r="AA192" s="1811"/>
      <c r="AB192" s="1811"/>
      <c r="AC192" s="1811"/>
      <c r="AD192" s="1811"/>
      <c r="AE192" s="1811"/>
      <c r="BC192" t="s">
        <v>1068</v>
      </c>
      <c r="BH192" s="3" t="s">
        <v>1476</v>
      </c>
      <c r="BN192" s="23" t="s">
        <v>699</v>
      </c>
      <c r="BT192" t="s">
        <v>738</v>
      </c>
    </row>
    <row r="193" spans="1:74" ht="12.95" customHeight="1">
      <c r="C193" s="21"/>
      <c r="D193" t="s">
        <v>2394</v>
      </c>
      <c r="M193" s="40"/>
      <c r="N193" s="928"/>
      <c r="O193" s="928"/>
      <c r="P193" s="928"/>
      <c r="Q193" s="928"/>
      <c r="R193" s="928"/>
      <c r="S193" s="928"/>
      <c r="T193" s="1815" t="s">
        <v>2270</v>
      </c>
      <c r="U193" s="1815"/>
      <c r="V193" s="1815"/>
      <c r="W193" s="1815"/>
      <c r="X193" s="1815"/>
      <c r="Y193" s="1815"/>
      <c r="Z193" s="1815"/>
      <c r="AA193" s="1815"/>
      <c r="AB193" s="1815"/>
      <c r="AC193" s="1815"/>
      <c r="AD193" s="1815"/>
      <c r="AE193" s="1815"/>
      <c r="AF193" s="1815"/>
      <c r="AG193" s="1815"/>
      <c r="AH193" s="1815"/>
      <c r="AI193" s="1815"/>
      <c r="BC193" t="s">
        <v>1067</v>
      </c>
      <c r="BH193" s="3" t="s">
        <v>1743</v>
      </c>
      <c r="BN193" s="23" t="s">
        <v>700</v>
      </c>
      <c r="BT193" t="s">
        <v>739</v>
      </c>
    </row>
    <row r="194" spans="1:74" ht="12.95" customHeight="1">
      <c r="C194" s="21"/>
      <c r="D194" s="3" t="s">
        <v>2577</v>
      </c>
      <c r="M194" s="40"/>
      <c r="N194" s="928"/>
      <c r="O194" s="928"/>
      <c r="P194" s="928"/>
      <c r="Q194" s="928"/>
      <c r="R194" s="928"/>
      <c r="S194" s="928"/>
      <c r="AH194" s="1405" t="s">
        <v>678</v>
      </c>
      <c r="AI194" s="1405"/>
      <c r="BC194" t="s">
        <v>1476</v>
      </c>
      <c r="BN194" s="23" t="s">
        <v>701</v>
      </c>
      <c r="BT194" t="s">
        <v>740</v>
      </c>
    </row>
    <row r="195" spans="1:74" ht="12.95" customHeight="1">
      <c r="C195" s="21"/>
      <c r="D195" t="s">
        <v>332</v>
      </c>
      <c r="T195" s="1405" t="s">
        <v>554</v>
      </c>
      <c r="U195" s="1405"/>
      <c r="W195" t="s">
        <v>694</v>
      </c>
      <c r="AH195" s="1405">
        <v>42</v>
      </c>
      <c r="AI195" s="1405"/>
      <c r="BC195" t="s">
        <v>2049</v>
      </c>
      <c r="BN195" s="23" t="s">
        <v>243</v>
      </c>
      <c r="BT195" t="s">
        <v>741</v>
      </c>
    </row>
    <row r="196" spans="1:74" ht="12.95" customHeight="1">
      <c r="C196" s="21"/>
      <c r="D196" t="s">
        <v>387</v>
      </c>
      <c r="T196" s="1436" t="s">
        <v>678</v>
      </c>
      <c r="U196" s="1436"/>
      <c r="W196" t="s">
        <v>695</v>
      </c>
      <c r="AH196" s="1405">
        <v>67</v>
      </c>
      <c r="AI196" s="1405"/>
      <c r="BN196" s="23" t="s">
        <v>244</v>
      </c>
      <c r="BT196" t="s">
        <v>69</v>
      </c>
    </row>
    <row r="197" spans="1:74" ht="12.95" customHeight="1">
      <c r="C197" s="21"/>
      <c r="D197" s="3" t="s">
        <v>169</v>
      </c>
      <c r="T197" s="1436" t="s">
        <v>678</v>
      </c>
      <c r="U197" s="1436"/>
      <c r="W197" t="s">
        <v>696</v>
      </c>
      <c r="AH197" s="1405">
        <v>28</v>
      </c>
      <c r="AI197" s="1405"/>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36">
        <v>0</v>
      </c>
      <c r="U198" s="143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405"/>
      <c r="AA199" s="1405"/>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51" t="s">
        <v>386</v>
      </c>
      <c r="E204" s="1451"/>
      <c r="F204" s="1451"/>
      <c r="G204" s="1451"/>
      <c r="H204" s="1451"/>
      <c r="I204" s="1451"/>
      <c r="J204" s="1451"/>
      <c r="K204" s="1451"/>
      <c r="L204" s="1451"/>
      <c r="M204" s="1451"/>
      <c r="P204" s="1823">
        <f>M26</f>
        <v>4873981</v>
      </c>
      <c r="Q204" s="1805"/>
      <c r="R204" s="1805"/>
      <c r="S204" s="1805"/>
      <c r="T204" s="1805"/>
      <c r="U204" s="1805"/>
      <c r="Z204" s="1803" t="s">
        <v>2624</v>
      </c>
      <c r="AA204" s="1803"/>
      <c r="AB204" s="1803"/>
      <c r="AC204" s="1803"/>
      <c r="AD204" s="1803"/>
      <c r="AE204" s="1803"/>
      <c r="AF204" s="1803"/>
      <c r="BC204" t="s">
        <v>619</v>
      </c>
      <c r="BN204" s="23" t="s">
        <v>713</v>
      </c>
      <c r="BT204" s="32" t="s">
        <v>198</v>
      </c>
      <c r="BU204" s="14"/>
    </row>
    <row r="205" spans="1:74" ht="12.95" customHeight="1">
      <c r="C205" s="21"/>
      <c r="D205" s="1802" t="s">
        <v>1356</v>
      </c>
      <c r="E205" s="1451"/>
      <c r="F205" s="1451"/>
      <c r="G205" s="1451"/>
      <c r="H205" s="1451"/>
      <c r="I205" s="1451"/>
      <c r="J205" s="1451"/>
      <c r="K205" s="1451"/>
      <c r="L205" s="1451"/>
      <c r="M205" s="1451"/>
      <c r="P205" s="1805">
        <f>M27</f>
        <v>22168328</v>
      </c>
      <c r="Q205" s="1805"/>
      <c r="R205" s="1805"/>
      <c r="S205" s="1805"/>
      <c r="T205" s="1805"/>
      <c r="U205" s="1805"/>
      <c r="V205" s="28"/>
      <c r="W205" s="3" t="s">
        <v>1911</v>
      </c>
      <c r="Z205" s="1803"/>
      <c r="AA205" s="1803"/>
      <c r="AB205" s="1803"/>
      <c r="AC205" s="1803"/>
      <c r="AD205" s="1803"/>
      <c r="AE205" s="1803"/>
      <c r="AF205" s="1803"/>
      <c r="AG205" t="s">
        <v>1357</v>
      </c>
      <c r="AP205" s="1405" t="s">
        <v>678</v>
      </c>
      <c r="AQ205" s="1405"/>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804"/>
      <c r="AA206" s="1804"/>
      <c r="AB206" s="1804"/>
      <c r="AC206" s="1804"/>
      <c r="AD206" s="1804"/>
      <c r="AE206" s="1804"/>
      <c r="AF206" s="1804"/>
      <c r="BC206" s="470" t="s">
        <v>1094</v>
      </c>
      <c r="BN206" s="23" t="s">
        <v>110</v>
      </c>
      <c r="BT206" s="32" t="s">
        <v>199</v>
      </c>
      <c r="BU206" s="14"/>
    </row>
    <row r="207" spans="1:74" ht="12.95" customHeight="1">
      <c r="A207" s="2" t="s">
        <v>598</v>
      </c>
      <c r="C207" s="2" t="s">
        <v>560</v>
      </c>
      <c r="BC207" s="3" t="s">
        <v>2567</v>
      </c>
      <c r="BN207" s="23" t="s">
        <v>45</v>
      </c>
      <c r="BT207" s="32" t="s">
        <v>200</v>
      </c>
    </row>
    <row r="208" spans="1:74" ht="12.95" customHeight="1">
      <c r="C208" s="21"/>
      <c r="D208" s="1448" t="s">
        <v>2642</v>
      </c>
      <c r="E208" s="1448"/>
      <c r="F208" s="1448"/>
      <c r="G208" s="1448"/>
      <c r="H208" s="1448"/>
      <c r="I208" s="1448"/>
      <c r="J208" s="1448"/>
      <c r="K208" s="1448"/>
      <c r="L208" s="1448"/>
      <c r="M208" s="1448"/>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8" t="s">
        <v>1066</v>
      </c>
      <c r="E211" s="1448"/>
      <c r="F211" s="1448"/>
      <c r="G211" s="1448"/>
      <c r="H211" s="1448"/>
      <c r="I211" s="1448"/>
      <c r="J211" s="1448"/>
      <c r="K211" s="1448"/>
      <c r="L211" s="1448"/>
      <c r="M211" s="1448"/>
      <c r="BN211" s="23" t="s">
        <v>129</v>
      </c>
      <c r="BT211" s="32" t="s">
        <v>130</v>
      </c>
    </row>
    <row r="212" spans="1:72" ht="12.95" customHeight="1">
      <c r="C212" s="21"/>
      <c r="D212" t="s">
        <v>1353</v>
      </c>
      <c r="Y212" s="1405"/>
      <c r="Z212" s="1405"/>
      <c r="AB212" s="1813">
        <f>IFERROR(Y212/AG440,"")</f>
        <v>0</v>
      </c>
      <c r="AC212" s="1814"/>
      <c r="BC212" t="s">
        <v>308</v>
      </c>
      <c r="BI212" t="s">
        <v>1291</v>
      </c>
      <c r="BN212" s="23" t="s">
        <v>49</v>
      </c>
      <c r="BT212" s="32" t="s">
        <v>204</v>
      </c>
    </row>
    <row r="213" spans="1:72" ht="12.95" customHeight="1">
      <c r="D213" s="1189" t="s">
        <v>1742</v>
      </c>
      <c r="BC213" t="s">
        <v>535</v>
      </c>
      <c r="BI213" t="s">
        <v>2624</v>
      </c>
      <c r="BN213" s="23" t="s">
        <v>50</v>
      </c>
      <c r="BT213" s="32" t="s">
        <v>205</v>
      </c>
    </row>
    <row r="214" spans="1:72" ht="12.95" customHeight="1">
      <c r="D214" s="1820" t="s">
        <v>600</v>
      </c>
      <c r="E214" s="1820"/>
      <c r="F214" s="1820"/>
      <c r="G214" s="1820"/>
      <c r="H214" s="1820"/>
      <c r="I214" s="1820"/>
      <c r="J214" s="1820"/>
      <c r="K214" s="1820"/>
      <c r="L214" s="1820"/>
      <c r="M214" s="1820"/>
      <c r="N214" s="1820"/>
      <c r="O214" s="1820"/>
      <c r="P214" s="1820"/>
      <c r="Q214" s="1820"/>
      <c r="R214" s="1820"/>
      <c r="S214" s="1820"/>
      <c r="T214" s="1820"/>
      <c r="U214" s="1820"/>
      <c r="V214" s="1820"/>
      <c r="W214" s="1820"/>
      <c r="X214" s="1820"/>
      <c r="Y214" s="1820"/>
      <c r="Z214" s="1820"/>
      <c r="AU214" s="21"/>
      <c r="AV214" s="21"/>
      <c r="AW214" s="21"/>
      <c r="AX214" s="21"/>
      <c r="AY214" s="21"/>
      <c r="BC214" t="s">
        <v>539</v>
      </c>
      <c r="BI214" t="s">
        <v>2630</v>
      </c>
      <c r="BN214" s="23" t="s">
        <v>327</v>
      </c>
      <c r="BT214" s="32" t="s">
        <v>206</v>
      </c>
    </row>
    <row r="215" spans="1:72" ht="12.95" customHeight="1">
      <c r="D215" s="3" t="s">
        <v>1767</v>
      </c>
      <c r="Z215" s="40"/>
      <c r="AB215" s="1819"/>
      <c r="AC215" s="1819"/>
      <c r="AD215" s="1819"/>
      <c r="AE215" s="1819"/>
      <c r="AF215" s="1819"/>
      <c r="AG215" s="1819"/>
      <c r="AH215" s="1819"/>
      <c r="AI215" s="1819"/>
      <c r="AJ215" s="1819"/>
      <c r="AK215" s="1819"/>
      <c r="AL215" s="1819"/>
      <c r="AM215" s="21"/>
      <c r="AN215" s="21"/>
      <c r="AO215" s="21"/>
      <c r="AP215" s="21"/>
      <c r="AQ215" s="21"/>
      <c r="AR215" s="21"/>
      <c r="AS215" s="21"/>
      <c r="AT215" s="21"/>
      <c r="AU215" s="21"/>
      <c r="AV215" s="21"/>
      <c r="AW215" s="21"/>
      <c r="AX215" s="21"/>
      <c r="AY215" s="21"/>
      <c r="BC215" t="s">
        <v>536</v>
      </c>
      <c r="BI215" t="s">
        <v>2625</v>
      </c>
    </row>
    <row r="216" spans="1:72" ht="12.95" customHeight="1">
      <c r="D216" s="3" t="s">
        <v>1765</v>
      </c>
      <c r="Z216" s="40"/>
      <c r="AB216" s="1819"/>
      <c r="AC216" s="1819"/>
      <c r="AD216" s="1819"/>
      <c r="AE216" s="1819"/>
      <c r="AF216" s="1819"/>
      <c r="AG216" s="1819"/>
      <c r="AH216" s="1819"/>
      <c r="AI216" s="1819"/>
      <c r="AJ216" s="1819"/>
      <c r="AK216" s="1819"/>
      <c r="AL216" s="1819"/>
      <c r="AM216" s="21"/>
      <c r="AN216" s="21"/>
      <c r="AO216" s="21"/>
      <c r="AP216" s="21"/>
      <c r="AQ216" s="21"/>
      <c r="AR216" s="21"/>
      <c r="AS216" s="21"/>
      <c r="AT216" s="21"/>
      <c r="AU216" s="21"/>
      <c r="AV216" s="21"/>
      <c r="AW216" s="21"/>
      <c r="AX216" s="21"/>
      <c r="AY216" s="21"/>
      <c r="BC216" t="s">
        <v>575</v>
      </c>
      <c r="BI216"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8" t="s">
        <v>1092</v>
      </c>
      <c r="E220" s="1448"/>
      <c r="F220" s="1448"/>
      <c r="G220" s="1448"/>
      <c r="H220" s="1448"/>
      <c r="I220" s="1448"/>
      <c r="J220" s="1448"/>
      <c r="K220" s="1448"/>
      <c r="L220" s="1448"/>
      <c r="M220" s="1448"/>
      <c r="N220" s="1448"/>
      <c r="O220" s="1448"/>
      <c r="P220" s="1448"/>
      <c r="Q220" s="1448"/>
      <c r="R220" s="1448"/>
      <c r="S220" s="1448"/>
      <c r="T220" s="1448"/>
      <c r="U220" s="1448"/>
      <c r="V220" s="1448"/>
      <c r="W220" s="1448"/>
      <c r="X220" s="1448"/>
      <c r="Y220" s="1448"/>
      <c r="Z220" s="1448"/>
      <c r="BA220" s="3"/>
      <c r="BC220" t="s">
        <v>301</v>
      </c>
    </row>
    <row r="221" spans="1:72" ht="12.95" customHeight="1">
      <c r="A221" s="2"/>
      <c r="B221" s="14"/>
      <c r="C221" s="2"/>
      <c r="AU221" s="95"/>
      <c r="AV221" s="95"/>
      <c r="AW221" s="95"/>
      <c r="AX221" s="95"/>
      <c r="AY221" s="95"/>
      <c r="BA221" s="3"/>
    </row>
    <row r="222" spans="1:72" ht="12.95" customHeight="1">
      <c r="A222" s="1466" t="s">
        <v>549</v>
      </c>
      <c r="B222" s="1466"/>
      <c r="C222" s="1466"/>
      <c r="D222" s="1466"/>
      <c r="E222" s="1466"/>
      <c r="F222" s="1466"/>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c r="AA222" s="1466"/>
      <c r="AB222" s="1466"/>
      <c r="AC222" s="1466"/>
      <c r="AD222" s="1466"/>
      <c r="AE222" s="1466"/>
      <c r="AF222" s="1466"/>
      <c r="AG222" s="1466"/>
      <c r="AH222" s="1466"/>
      <c r="AI222" s="1466"/>
      <c r="AJ222" s="1466"/>
      <c r="AK222" s="1466"/>
      <c r="AL222" s="1466"/>
      <c r="AM222" s="1466"/>
      <c r="AN222" s="1466"/>
      <c r="AO222" s="1466"/>
      <c r="AP222" s="1466"/>
      <c r="AQ222" s="1466"/>
      <c r="AR222" s="1466"/>
      <c r="AS222" s="1466"/>
      <c r="AT222" s="1466"/>
      <c r="AU222" s="95"/>
      <c r="AV222" s="95"/>
      <c r="AW222" s="95"/>
      <c r="AX222" s="95"/>
      <c r="AY222" s="95"/>
      <c r="AZ222" s="3"/>
      <c r="BA222" s="3"/>
      <c r="BP222" s="34"/>
    </row>
    <row r="223" spans="1:72" ht="12.95" customHeight="1">
      <c r="A223" s="1466"/>
      <c r="B223" s="1466"/>
      <c r="C223" s="1466"/>
      <c r="D223" s="1466"/>
      <c r="E223" s="1466"/>
      <c r="F223" s="1466"/>
      <c r="G223" s="1466"/>
      <c r="H223" s="1466"/>
      <c r="I223" s="1466"/>
      <c r="J223" s="1466"/>
      <c r="K223" s="1466"/>
      <c r="L223" s="1466"/>
      <c r="M223" s="1466"/>
      <c r="N223" s="1466"/>
      <c r="O223" s="1466"/>
      <c r="P223" s="1466"/>
      <c r="Q223" s="1466"/>
      <c r="R223" s="1466"/>
      <c r="S223" s="1466"/>
      <c r="T223" s="1466"/>
      <c r="U223" s="1466"/>
      <c r="V223" s="1466"/>
      <c r="W223" s="1466"/>
      <c r="X223" s="1466"/>
      <c r="Y223" s="1466"/>
      <c r="Z223" s="1466"/>
      <c r="AA223" s="1466"/>
      <c r="AB223" s="1466"/>
      <c r="AC223" s="1466"/>
      <c r="AD223" s="1466"/>
      <c r="AE223" s="1466"/>
      <c r="AF223" s="1466"/>
      <c r="AG223" s="1466"/>
      <c r="AH223" s="1466"/>
      <c r="AI223" s="1466"/>
      <c r="AJ223" s="1466"/>
      <c r="AK223" s="1466"/>
      <c r="AL223" s="1466"/>
      <c r="AM223" s="1466"/>
      <c r="AN223" s="1466"/>
      <c r="AO223" s="1466"/>
      <c r="AP223" s="1466"/>
      <c r="AQ223" s="1466"/>
      <c r="AR223" s="1466"/>
      <c r="AS223" s="1466"/>
      <c r="AT223" s="1466"/>
      <c r="BA223" s="3"/>
      <c r="BB223" s="3"/>
      <c r="BQ223" s="34"/>
    </row>
    <row r="224" spans="1:72" ht="12.95" customHeight="1">
      <c r="AZ224" s="4"/>
      <c r="BA224" s="3"/>
      <c r="BB224" s="3"/>
      <c r="BQ224" s="34"/>
    </row>
    <row r="225" spans="1:69" ht="12.95" customHeight="1">
      <c r="A225" s="2" t="s">
        <v>320</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5" t="s">
        <v>554</v>
      </c>
      <c r="AJ226" s="1405"/>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5" t="s">
        <v>554</v>
      </c>
      <c r="AJ227" s="1405"/>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5" t="s">
        <v>554</v>
      </c>
      <c r="AJ228" s="1405"/>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5" t="s">
        <v>600</v>
      </c>
      <c r="AJ229" s="1405"/>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8" t="str">
        <f>H16</f>
        <v>Viscar Terrace LP</v>
      </c>
      <c r="N232" s="1808"/>
      <c r="O232" s="1808"/>
      <c r="P232" s="1808"/>
      <c r="Q232" s="1808"/>
      <c r="R232" s="1808"/>
      <c r="S232" s="1808"/>
      <c r="T232" s="1808"/>
      <c r="U232" s="1808"/>
      <c r="V232" s="1808"/>
      <c r="W232" s="1808"/>
      <c r="X232" s="1808"/>
      <c r="Y232" s="1808"/>
      <c r="Z232" s="1808"/>
      <c r="AA232" s="1808"/>
      <c r="AB232" s="1808"/>
      <c r="AC232" s="1808"/>
      <c r="AD232" s="1808"/>
      <c r="AE232" s="1808"/>
      <c r="AF232" s="1808"/>
      <c r="AG232" s="1808"/>
      <c r="AH232" s="1808"/>
      <c r="AI232" s="1808"/>
      <c r="AJ232" s="1808"/>
      <c r="AK232" s="1808"/>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8" t="s">
        <v>2643</v>
      </c>
      <c r="N233" s="1448"/>
      <c r="O233" s="1448"/>
      <c r="P233" s="1448"/>
      <c r="Q233" s="1448"/>
      <c r="R233" s="1448"/>
      <c r="S233" s="1448"/>
      <c r="T233" s="1448"/>
      <c r="U233" s="1448"/>
      <c r="V233" s="1448"/>
      <c r="W233" s="1448"/>
      <c r="X233" s="1448"/>
      <c r="Y233" s="1448"/>
      <c r="Z233" s="1448"/>
      <c r="AA233" s="1448"/>
      <c r="AB233" s="1448"/>
      <c r="AC233" s="1448"/>
      <c r="AD233" s="1448"/>
      <c r="AE233" s="1448"/>
      <c r="BB233" s="219" t="s">
        <v>547</v>
      </c>
      <c r="BG233" s="259">
        <f>IF(AND(AND($M$249="nonprofit",$M$257="for profit",$M$265="nonprofit")),2,0)</f>
        <v>0</v>
      </c>
    </row>
    <row r="234" spans="1:69" ht="12.95" customHeight="1">
      <c r="D234" s="4" t="s">
        <v>589</v>
      </c>
      <c r="E234" s="4"/>
      <c r="M234" s="1448" t="s">
        <v>2644</v>
      </c>
      <c r="N234" s="1448"/>
      <c r="O234" s="1448"/>
      <c r="P234" s="1448"/>
      <c r="Q234" s="1448"/>
      <c r="R234" s="1448"/>
      <c r="S234" s="1448"/>
      <c r="T234" s="1448"/>
      <c r="V234" s="33" t="s">
        <v>86</v>
      </c>
      <c r="W234" s="1553" t="s">
        <v>2645</v>
      </c>
      <c r="X234" s="1489"/>
      <c r="Y234" s="4" t="s">
        <v>592</v>
      </c>
      <c r="AC234" s="1448">
        <v>92663</v>
      </c>
      <c r="AD234" s="1448"/>
      <c r="AE234" s="144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8" t="s">
        <v>2646</v>
      </c>
      <c r="N235" s="1448"/>
      <c r="O235" s="1448"/>
      <c r="P235" s="1448"/>
      <c r="Q235" s="1448"/>
      <c r="R235" s="1448"/>
      <c r="S235" s="1448"/>
      <c r="T235" s="1448"/>
      <c r="U235" s="1448"/>
      <c r="V235" s="1448"/>
      <c r="W235" s="1448"/>
      <c r="X235" s="1448"/>
      <c r="Y235" s="1448"/>
      <c r="Z235" s="1448"/>
      <c r="AA235" s="1448"/>
      <c r="AB235" s="1448"/>
      <c r="AC235" s="1448"/>
      <c r="AD235" s="1448"/>
      <c r="AE235" s="1448"/>
      <c r="AI235" s="4"/>
      <c r="AJ235" s="4"/>
      <c r="AK235" s="4"/>
      <c r="AL235" s="4"/>
      <c r="AM235" s="4"/>
      <c r="AN235" s="4"/>
      <c r="AO235" s="4"/>
      <c r="AP235" s="4"/>
      <c r="AQ235" s="4"/>
      <c r="AR235" s="4"/>
      <c r="AS235" s="4"/>
      <c r="AT235" s="4"/>
      <c r="BB235" s="219"/>
      <c r="BG235" s="218"/>
    </row>
    <row r="236" spans="1:69" ht="12.95" customHeight="1">
      <c r="D236" s="4" t="s">
        <v>88</v>
      </c>
      <c r="E236" s="4"/>
      <c r="F236" s="4"/>
      <c r="M236" s="1465" t="s">
        <v>2647</v>
      </c>
      <c r="N236" s="1465"/>
      <c r="O236" s="1465"/>
      <c r="P236" s="1465"/>
      <c r="Q236" s="1465"/>
      <c r="R236" s="1465"/>
      <c r="S236" s="4" t="s">
        <v>207</v>
      </c>
      <c r="T236" s="4"/>
      <c r="U236" s="1489"/>
      <c r="V236" s="1489"/>
      <c r="W236" s="1489"/>
      <c r="X236" s="4" t="s">
        <v>89</v>
      </c>
      <c r="Z236" s="1465"/>
      <c r="AA236" s="1465"/>
      <c r="AB236" s="1465"/>
      <c r="AC236" s="1465"/>
      <c r="AD236" s="1465"/>
      <c r="AE236" s="1465"/>
      <c r="AU236" s="4"/>
      <c r="AV236" s="4"/>
      <c r="AW236" s="4"/>
      <c r="AX236" s="4"/>
      <c r="AY236" s="4"/>
      <c r="AZ236" s="4"/>
      <c r="BB236" s="218" t="s">
        <v>546</v>
      </c>
      <c r="BG236" s="259">
        <f>IF(AND(AND($M$249="nonprofit",$M$257="nonprofit",$M$265="(select one)")),1,0)</f>
        <v>0</v>
      </c>
    </row>
    <row r="237" spans="1:69" ht="12.95" customHeight="1">
      <c r="D237" s="4" t="s">
        <v>90</v>
      </c>
      <c r="E237" s="4"/>
      <c r="F237" s="4"/>
      <c r="M237" s="1789" t="s">
        <v>2648</v>
      </c>
      <c r="N237" s="1789"/>
      <c r="O237" s="1789"/>
      <c r="P237" s="1789"/>
      <c r="Q237" s="1789"/>
      <c r="R237" s="1789"/>
      <c r="S237" s="1789"/>
      <c r="T237" s="1789"/>
      <c r="U237" s="1789"/>
      <c r="V237" s="1789"/>
      <c r="W237" s="1789"/>
      <c r="X237" s="1789"/>
      <c r="Y237" s="1789"/>
      <c r="Z237" s="1789"/>
      <c r="AA237" s="1789"/>
      <c r="AB237" s="1789"/>
      <c r="AC237" s="1789"/>
      <c r="AD237" s="1789"/>
      <c r="AE237" s="1789"/>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07" t="s">
        <v>537</v>
      </c>
      <c r="N238" s="1407"/>
      <c r="O238" s="1407"/>
      <c r="P238" s="1407"/>
      <c r="Q238" s="1407"/>
      <c r="R238" s="1407"/>
      <c r="S238" s="1407"/>
      <c r="T238" s="1407"/>
      <c r="U238" s="218" t="s">
        <v>922</v>
      </c>
      <c r="V238" s="218"/>
      <c r="W238" s="218"/>
      <c r="X238" s="218"/>
      <c r="Y238" s="218"/>
      <c r="Z238" s="218"/>
      <c r="AA238" s="1812" t="s">
        <v>2649</v>
      </c>
      <c r="AB238" s="1812"/>
      <c r="AC238" s="1812"/>
      <c r="AD238" s="1812"/>
      <c r="AE238" s="1812"/>
      <c r="AF238" s="1812"/>
      <c r="AG238" s="1812"/>
      <c r="AH238" s="1812"/>
      <c r="AI238" s="1812"/>
      <c r="AJ238" s="1812"/>
      <c r="AK238" s="181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92" t="s">
        <v>2781</v>
      </c>
      <c r="N243" s="1793"/>
      <c r="O243" s="1793"/>
      <c r="P243" s="1793"/>
      <c r="Q243" s="1793"/>
      <c r="R243" s="1793"/>
      <c r="S243" s="1793"/>
      <c r="T243" s="1793"/>
      <c r="U243" s="1793"/>
      <c r="V243" s="1793"/>
      <c r="W243" s="1793"/>
      <c r="X243" s="1793"/>
      <c r="Y243" s="1793"/>
      <c r="Z243" s="1793"/>
      <c r="AA243" s="1793"/>
      <c r="AB243" s="1793"/>
      <c r="AC243" s="1793"/>
      <c r="AD243" s="1793"/>
      <c r="AE243" s="1793"/>
      <c r="AF243" s="1793" t="s">
        <v>2651</v>
      </c>
      <c r="AG243" s="1793"/>
      <c r="AH243" s="1793"/>
      <c r="AI243" s="1793"/>
      <c r="AJ243" s="1793"/>
      <c r="AK243" s="179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8" t="s">
        <v>2643</v>
      </c>
      <c r="N244" s="1448"/>
      <c r="O244" s="1448"/>
      <c r="P244" s="1448"/>
      <c r="Q244" s="1448"/>
      <c r="R244" s="1448"/>
      <c r="S244" s="1448"/>
      <c r="T244" s="1448"/>
      <c r="U244" s="1448"/>
      <c r="V244" s="1448"/>
      <c r="W244" s="1448"/>
      <c r="X244" s="1448"/>
      <c r="Y244" s="1448"/>
      <c r="Z244" s="1448"/>
      <c r="AA244" s="1448"/>
      <c r="AB244" s="1448"/>
      <c r="AC244" s="1448"/>
      <c r="AD244" s="1448"/>
      <c r="AE244" s="1448"/>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8" t="s">
        <v>2644</v>
      </c>
      <c r="N245" s="1448"/>
      <c r="O245" s="1448"/>
      <c r="P245" s="1448"/>
      <c r="Q245" s="1448"/>
      <c r="R245" s="1448"/>
      <c r="S245" s="1448"/>
      <c r="T245" s="1448"/>
      <c r="V245" s="33" t="s">
        <v>86</v>
      </c>
      <c r="W245" s="1489" t="s">
        <v>2645</v>
      </c>
      <c r="X245" s="1489"/>
      <c r="Y245" s="4" t="s">
        <v>592</v>
      </c>
      <c r="AC245" s="1448">
        <v>92663</v>
      </c>
      <c r="AD245" s="1448"/>
      <c r="AE245" s="1448"/>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48" t="s">
        <v>2646</v>
      </c>
      <c r="N246" s="1448"/>
      <c r="O246" s="1448"/>
      <c r="P246" s="1448"/>
      <c r="Q246" s="1448"/>
      <c r="R246" s="1448"/>
      <c r="S246" s="1448"/>
      <c r="T246" s="1448"/>
      <c r="U246" s="1448"/>
      <c r="V246" s="1448"/>
      <c r="W246" s="1448"/>
      <c r="X246" s="1448"/>
      <c r="Y246" s="1448"/>
      <c r="Z246" s="1448"/>
      <c r="AA246" s="1448"/>
      <c r="AB246" s="1448"/>
      <c r="AC246" s="1448"/>
      <c r="AD246" s="1448"/>
      <c r="AE246" s="1448"/>
      <c r="AH246" s="1856">
        <v>1E-4</v>
      </c>
      <c r="AI246" s="1790"/>
      <c r="AJ246" s="1790"/>
      <c r="AK246" s="1790"/>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65" t="s">
        <v>2647</v>
      </c>
      <c r="N247" s="1465"/>
      <c r="O247" s="1465"/>
      <c r="P247" s="1465"/>
      <c r="Q247" s="1465"/>
      <c r="R247" s="1465"/>
      <c r="S247" s="4" t="s">
        <v>207</v>
      </c>
      <c r="T247" s="4"/>
      <c r="U247" s="1489"/>
      <c r="V247" s="1489"/>
      <c r="W247" s="1489"/>
      <c r="X247" s="4" t="s">
        <v>89</v>
      </c>
      <c r="Z247" s="1465"/>
      <c r="AA247" s="1465"/>
      <c r="AB247" s="1465"/>
      <c r="AC247" s="1465"/>
      <c r="AD247" s="1465"/>
      <c r="AE247" s="1465"/>
      <c r="AU247" s="4"/>
      <c r="AV247" s="4"/>
      <c r="AW247" s="4"/>
      <c r="AX247" s="4"/>
      <c r="AY247" s="4"/>
      <c r="BG247">
        <v>0</v>
      </c>
      <c r="BH247" s="3"/>
      <c r="BN247" s="34"/>
    </row>
    <row r="248" spans="1:71" ht="12.95" customHeight="1">
      <c r="A248" s="19"/>
      <c r="B248" s="4"/>
      <c r="C248" s="4"/>
      <c r="D248" s="4" t="s">
        <v>90</v>
      </c>
      <c r="E248" s="4"/>
      <c r="F248" s="4"/>
      <c r="M248" s="1789" t="s">
        <v>2648</v>
      </c>
      <c r="N248" s="1789"/>
      <c r="O248" s="1789"/>
      <c r="P248" s="1789"/>
      <c r="Q248" s="1789"/>
      <c r="R248" s="1789"/>
      <c r="S248" s="1789"/>
      <c r="T248" s="1789"/>
      <c r="U248" s="1789"/>
      <c r="V248" s="1789"/>
      <c r="W248" s="1789"/>
      <c r="X248" s="1789"/>
      <c r="Y248" s="1789"/>
      <c r="Z248" s="1789"/>
      <c r="AA248" s="1789"/>
      <c r="AB248" s="1789"/>
      <c r="AC248" s="1789"/>
      <c r="AD248" s="1789"/>
      <c r="AE248" s="1789"/>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07" t="s">
        <v>545</v>
      </c>
      <c r="N249" s="1407"/>
      <c r="O249" s="1407"/>
      <c r="P249" s="1407"/>
      <c r="Q249" s="1407"/>
      <c r="R249" s="1407"/>
      <c r="S249" s="1407"/>
      <c r="T249" s="1407"/>
      <c r="U249" s="218" t="s">
        <v>922</v>
      </c>
      <c r="V249" s="218"/>
      <c r="W249" s="218"/>
      <c r="X249" s="218"/>
      <c r="Y249" s="218"/>
      <c r="Z249" s="218"/>
      <c r="AA249" s="1824" t="s">
        <v>2649</v>
      </c>
      <c r="AB249" s="1812"/>
      <c r="AC249" s="1812"/>
      <c r="AD249" s="1812"/>
      <c r="AE249" s="1812"/>
      <c r="AF249" s="1812"/>
      <c r="AG249" s="1812"/>
      <c r="AH249" s="1812"/>
      <c r="AI249" s="1812"/>
      <c r="AJ249" s="1812"/>
      <c r="AK249" s="181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93" t="s">
        <v>2652</v>
      </c>
      <c r="N251" s="1793"/>
      <c r="O251" s="1793"/>
      <c r="P251" s="1793"/>
      <c r="Q251" s="1793"/>
      <c r="R251" s="1793"/>
      <c r="S251" s="1793"/>
      <c r="T251" s="1793"/>
      <c r="U251" s="1793"/>
      <c r="V251" s="1793"/>
      <c r="W251" s="1793"/>
      <c r="X251" s="1793"/>
      <c r="Y251" s="1793"/>
      <c r="Z251" s="1793"/>
      <c r="AA251" s="1793"/>
      <c r="AB251" s="1793"/>
      <c r="AC251" s="1793"/>
      <c r="AD251" s="1793"/>
      <c r="AE251" s="1793"/>
      <c r="AF251" s="1793" t="s">
        <v>2653</v>
      </c>
      <c r="AG251" s="1793"/>
      <c r="AH251" s="1793"/>
      <c r="AI251" s="1793"/>
      <c r="AJ251" s="1793"/>
      <c r="AK251" s="1793"/>
      <c r="AU251" s="4"/>
      <c r="AV251" s="4"/>
      <c r="AW251" s="4"/>
      <c r="AX251" s="4"/>
      <c r="AY251" s="4"/>
      <c r="BN251" s="34"/>
    </row>
    <row r="252" spans="1:71" ht="12.95" customHeight="1">
      <c r="A252" s="19"/>
      <c r="B252" s="4"/>
      <c r="C252" s="4"/>
      <c r="D252" s="4" t="s">
        <v>85</v>
      </c>
      <c r="E252" s="4"/>
      <c r="F252" s="4"/>
      <c r="G252" s="4"/>
      <c r="H252" s="4"/>
      <c r="I252" s="4"/>
      <c r="J252" s="4"/>
      <c r="K252" s="4"/>
      <c r="L252" s="4"/>
      <c r="M252" s="1448" t="s">
        <v>2654</v>
      </c>
      <c r="N252" s="1448"/>
      <c r="O252" s="1448"/>
      <c r="P252" s="1448"/>
      <c r="Q252" s="1448"/>
      <c r="R252" s="1448"/>
      <c r="S252" s="1448"/>
      <c r="T252" s="1448"/>
      <c r="U252" s="1448"/>
      <c r="V252" s="1448"/>
      <c r="W252" s="1448"/>
      <c r="X252" s="1448"/>
      <c r="Y252" s="1448"/>
      <c r="Z252" s="1448"/>
      <c r="AA252" s="1448"/>
      <c r="AB252" s="1448"/>
      <c r="AC252" s="1448"/>
      <c r="AD252" s="1448"/>
      <c r="AE252" s="1448"/>
      <c r="AF252" s="3" t="s">
        <v>1286</v>
      </c>
      <c r="AL252" s="4"/>
      <c r="AM252" s="4"/>
      <c r="AN252" s="4"/>
      <c r="AO252" s="4"/>
      <c r="AP252" s="4"/>
      <c r="AQ252" s="4"/>
      <c r="AR252" s="4"/>
      <c r="AS252" s="4"/>
      <c r="AT252" s="4"/>
      <c r="BN252" s="34"/>
    </row>
    <row r="253" spans="1:71" ht="12.95" customHeight="1">
      <c r="A253" s="19"/>
      <c r="B253" s="4"/>
      <c r="C253" s="4"/>
      <c r="D253" s="4" t="s">
        <v>589</v>
      </c>
      <c r="E253" s="4"/>
      <c r="M253" s="1448" t="s">
        <v>2655</v>
      </c>
      <c r="N253" s="1448"/>
      <c r="O253" s="1448"/>
      <c r="P253" s="1448"/>
      <c r="Q253" s="1448"/>
      <c r="R253" s="1448"/>
      <c r="S253" s="1448"/>
      <c r="T253" s="1448"/>
      <c r="V253" s="33" t="s">
        <v>86</v>
      </c>
      <c r="W253" s="1489" t="s">
        <v>2645</v>
      </c>
      <c r="X253" s="1489"/>
      <c r="Y253" s="4" t="s">
        <v>592</v>
      </c>
      <c r="AC253" s="1448">
        <v>95816</v>
      </c>
      <c r="AD253" s="1448"/>
      <c r="AE253" s="1448"/>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48" t="s">
        <v>2657</v>
      </c>
      <c r="N254" s="1448"/>
      <c r="O254" s="1448"/>
      <c r="P254" s="1448"/>
      <c r="Q254" s="1448"/>
      <c r="R254" s="1448"/>
      <c r="S254" s="1448"/>
      <c r="T254" s="1448"/>
      <c r="U254" s="1448"/>
      <c r="V254" s="1448"/>
      <c r="W254" s="1448"/>
      <c r="X254" s="1448"/>
      <c r="Y254" s="1448"/>
      <c r="Z254" s="1448"/>
      <c r="AA254" s="1448"/>
      <c r="AB254" s="1448"/>
      <c r="AC254" s="1448"/>
      <c r="AD254" s="1448"/>
      <c r="AE254" s="1448"/>
      <c r="AH254" s="1800" t="s">
        <v>2656</v>
      </c>
      <c r="AI254" s="1790"/>
      <c r="AJ254" s="1790"/>
      <c r="AK254" s="1790"/>
      <c r="AL254" s="4"/>
      <c r="AM254" s="4"/>
      <c r="AN254" s="4"/>
      <c r="AO254" s="4"/>
      <c r="AP254" s="4"/>
      <c r="AQ254" s="4"/>
      <c r="AR254" s="4"/>
      <c r="AS254" s="4"/>
      <c r="AT254" s="4"/>
    </row>
    <row r="255" spans="1:71" ht="12.95" customHeight="1">
      <c r="A255" s="19"/>
      <c r="B255" s="4"/>
      <c r="C255" s="4"/>
      <c r="D255" s="4" t="s">
        <v>88</v>
      </c>
      <c r="E255" s="4"/>
      <c r="F255" s="4"/>
      <c r="M255" s="1465" t="s">
        <v>2658</v>
      </c>
      <c r="N255" s="1465"/>
      <c r="O255" s="1465"/>
      <c r="P255" s="1465"/>
      <c r="Q255" s="1465"/>
      <c r="R255" s="1465"/>
      <c r="S255" s="4" t="s">
        <v>207</v>
      </c>
      <c r="T255" s="4"/>
      <c r="U255" s="1489"/>
      <c r="V255" s="1489"/>
      <c r="W255" s="1489"/>
      <c r="X255" s="4" t="s">
        <v>89</v>
      </c>
      <c r="Z255" s="1465"/>
      <c r="AA255" s="1465"/>
      <c r="AB255" s="1465"/>
      <c r="AC255" s="1465"/>
      <c r="AD255" s="1465"/>
      <c r="AE255" s="1465"/>
      <c r="AU255" s="4"/>
      <c r="AV255" s="4"/>
      <c r="AW255" s="4"/>
      <c r="AX255" s="4"/>
      <c r="AY255" s="4"/>
      <c r="BN255" s="34"/>
    </row>
    <row r="256" spans="1:71" ht="12.95" customHeight="1">
      <c r="A256" s="19"/>
      <c r="B256" s="4"/>
      <c r="C256" s="4"/>
      <c r="D256" s="4" t="s">
        <v>90</v>
      </c>
      <c r="E256" s="4"/>
      <c r="F256" s="4"/>
      <c r="M256" s="1789" t="s">
        <v>2659</v>
      </c>
      <c r="N256" s="1789"/>
      <c r="O256" s="1789"/>
      <c r="P256" s="1789"/>
      <c r="Q256" s="1789"/>
      <c r="R256" s="1789"/>
      <c r="S256" s="1789"/>
      <c r="T256" s="1789"/>
      <c r="U256" s="1789"/>
      <c r="V256" s="1789"/>
      <c r="W256" s="1789"/>
      <c r="X256" s="1789"/>
      <c r="Y256" s="1789"/>
      <c r="Z256" s="1789"/>
      <c r="AA256" s="1789"/>
      <c r="AB256" s="1789"/>
      <c r="AC256" s="1789"/>
      <c r="AD256" s="1789"/>
      <c r="AE256" s="178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07" t="s">
        <v>543</v>
      </c>
      <c r="N257" s="1407"/>
      <c r="O257" s="1407"/>
      <c r="P257" s="1407"/>
      <c r="Q257" s="1407"/>
      <c r="R257" s="1407"/>
      <c r="S257" s="1407"/>
      <c r="T257" s="1407"/>
      <c r="U257" s="218" t="s">
        <v>922</v>
      </c>
      <c r="V257" s="218"/>
      <c r="W257" s="218"/>
      <c r="X257" s="218"/>
      <c r="Y257" s="218"/>
      <c r="Z257" s="218"/>
      <c r="AA257" s="1824" t="s">
        <v>2785</v>
      </c>
      <c r="AB257" s="1812"/>
      <c r="AC257" s="1812"/>
      <c r="AD257" s="1812"/>
      <c r="AE257" s="1812"/>
      <c r="AF257" s="1812"/>
      <c r="AG257" s="1812"/>
      <c r="AH257" s="1812"/>
      <c r="AI257" s="1812"/>
      <c r="AJ257" s="1812"/>
      <c r="AK257" s="181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93"/>
      <c r="N259" s="1793"/>
      <c r="O259" s="1793"/>
      <c r="P259" s="1793"/>
      <c r="Q259" s="1793"/>
      <c r="R259" s="1793"/>
      <c r="S259" s="1793"/>
      <c r="T259" s="1793"/>
      <c r="U259" s="1793"/>
      <c r="V259" s="1793"/>
      <c r="W259" s="1793"/>
      <c r="X259" s="1793"/>
      <c r="Y259" s="1793"/>
      <c r="Z259" s="1793"/>
      <c r="AA259" s="1793"/>
      <c r="AB259" s="1793"/>
      <c r="AC259" s="1793"/>
      <c r="AD259" s="1793"/>
      <c r="AE259" s="1793"/>
      <c r="AF259" s="1793" t="s">
        <v>308</v>
      </c>
      <c r="AG259" s="1793"/>
      <c r="AH259" s="1793"/>
      <c r="AI259" s="1793"/>
      <c r="AJ259" s="1793"/>
      <c r="AK259" s="179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8"/>
      <c r="N260" s="1448"/>
      <c r="O260" s="1448"/>
      <c r="P260" s="1448"/>
      <c r="Q260" s="1448"/>
      <c r="R260" s="1448"/>
      <c r="S260" s="1448"/>
      <c r="T260" s="1448"/>
      <c r="U260" s="1448"/>
      <c r="V260" s="1448"/>
      <c r="W260" s="1448"/>
      <c r="X260" s="1448"/>
      <c r="Y260" s="1448"/>
      <c r="Z260" s="1448"/>
      <c r="AA260" s="1448"/>
      <c r="AB260" s="1448"/>
      <c r="AC260" s="1448"/>
      <c r="AD260" s="1448"/>
      <c r="AE260" s="1448"/>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8"/>
      <c r="N261" s="1448"/>
      <c r="O261" s="1448"/>
      <c r="P261" s="1448"/>
      <c r="Q261" s="1448"/>
      <c r="R261" s="1448"/>
      <c r="S261" s="1448"/>
      <c r="T261" s="1448"/>
      <c r="V261" s="33" t="s">
        <v>86</v>
      </c>
      <c r="W261" s="1489"/>
      <c r="X261" s="1489"/>
      <c r="Y261" s="4" t="s">
        <v>592</v>
      </c>
      <c r="AC261" s="1448"/>
      <c r="AD261" s="1448"/>
      <c r="AE261" s="1448"/>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8"/>
      <c r="N262" s="1448"/>
      <c r="O262" s="1448"/>
      <c r="P262" s="1448"/>
      <c r="Q262" s="1448"/>
      <c r="R262" s="1448"/>
      <c r="S262" s="1448"/>
      <c r="T262" s="1448"/>
      <c r="U262" s="1448"/>
      <c r="V262" s="1448"/>
      <c r="W262" s="1448"/>
      <c r="X262" s="1448"/>
      <c r="Y262" s="1448"/>
      <c r="Z262" s="1448"/>
      <c r="AA262" s="1448"/>
      <c r="AB262" s="1448"/>
      <c r="AC262" s="1448"/>
      <c r="AD262" s="1448"/>
      <c r="AE262" s="1448"/>
      <c r="AH262" s="1790"/>
      <c r="AI262" s="1790"/>
      <c r="AJ262" s="1790"/>
      <c r="AK262" s="179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5"/>
      <c r="N263" s="1465"/>
      <c r="O263" s="1465"/>
      <c r="P263" s="1465"/>
      <c r="Q263" s="1465"/>
      <c r="R263" s="1465"/>
      <c r="S263" s="4" t="s">
        <v>207</v>
      </c>
      <c r="T263" s="4"/>
      <c r="U263" s="1489"/>
      <c r="V263" s="1489"/>
      <c r="W263" s="1489"/>
      <c r="X263" s="4" t="s">
        <v>89</v>
      </c>
      <c r="Z263" s="1465"/>
      <c r="AA263" s="1465"/>
      <c r="AB263" s="1465"/>
      <c r="AC263" s="1465"/>
      <c r="AD263" s="1465"/>
      <c r="AE263" s="146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9"/>
      <c r="N264" s="1789"/>
      <c r="O264" s="1789"/>
      <c r="P264" s="1789"/>
      <c r="Q264" s="1789"/>
      <c r="R264" s="1789"/>
      <c r="S264" s="1789"/>
      <c r="T264" s="1789"/>
      <c r="U264" s="1789"/>
      <c r="V264" s="1789"/>
      <c r="W264" s="1789"/>
      <c r="X264" s="1789"/>
      <c r="Y264" s="1789"/>
      <c r="Z264" s="1789"/>
      <c r="AA264" s="1827"/>
      <c r="AB264" s="1827"/>
      <c r="AC264" s="1827"/>
      <c r="AD264" s="1827"/>
      <c r="AE264" s="182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07" t="s">
        <v>308</v>
      </c>
      <c r="N265" s="1407"/>
      <c r="O265" s="1407"/>
      <c r="P265" s="1407"/>
      <c r="Q265" s="1407"/>
      <c r="R265" s="1407"/>
      <c r="S265" s="1407"/>
      <c r="T265" s="1407"/>
      <c r="U265" s="218" t="s">
        <v>922</v>
      </c>
      <c r="V265" s="218"/>
      <c r="W265" s="218"/>
      <c r="X265" s="218"/>
      <c r="Y265" s="218"/>
      <c r="Z265" s="218"/>
      <c r="AA265" s="1826"/>
      <c r="AB265" s="1826"/>
      <c r="AC265" s="1826"/>
      <c r="AD265" s="1826"/>
      <c r="AE265" s="1826"/>
      <c r="AF265" s="1826"/>
      <c r="AG265" s="1826"/>
      <c r="AH265" s="1826"/>
      <c r="AI265" s="1826"/>
      <c r="AJ265" s="1826"/>
      <c r="AK265" s="182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25" t="str">
        <f>IFERROR(BO245,"")</f>
        <v>Joint Venture</v>
      </c>
      <c r="U267" s="1825"/>
      <c r="V267" s="1825"/>
      <c r="W267" s="1825"/>
      <c r="X267" s="182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8" t="s">
        <v>281</v>
      </c>
      <c r="E270" s="1448"/>
      <c r="F270" s="1448"/>
      <c r="G270" s="1448"/>
      <c r="H270" s="1448"/>
      <c r="J270" t="s">
        <v>280</v>
      </c>
      <c r="X270" s="1478"/>
      <c r="Y270" s="1478"/>
      <c r="Z270" s="1478"/>
      <c r="AA270" s="1478"/>
      <c r="AB270" s="1478"/>
      <c r="AC270" s="147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93" t="s">
        <v>2660</v>
      </c>
      <c r="M274" s="1793"/>
      <c r="N274" s="1793"/>
      <c r="O274" s="1793"/>
      <c r="P274" s="1793"/>
      <c r="Q274" s="1793"/>
      <c r="R274" s="1793"/>
      <c r="S274" s="1793"/>
      <c r="T274" s="1793"/>
      <c r="U274" s="1793"/>
      <c r="V274" s="1793"/>
      <c r="W274" s="1793"/>
      <c r="X274" s="1793"/>
      <c r="Y274" s="1793"/>
      <c r="Z274" s="1793"/>
      <c r="AA274" s="1793"/>
      <c r="AB274" s="1793"/>
      <c r="AC274" s="1793"/>
      <c r="AD274" s="1793"/>
      <c r="AE274" s="1793"/>
      <c r="AF274" s="1793"/>
      <c r="AG274" s="1793"/>
      <c r="AH274" s="1793"/>
      <c r="AI274" s="1793"/>
      <c r="AJ274" s="179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8" t="s">
        <v>2661</v>
      </c>
      <c r="M275" s="1448"/>
      <c r="N275" s="1448"/>
      <c r="O275" s="1448"/>
      <c r="P275" s="1448"/>
      <c r="Q275" s="1448"/>
      <c r="R275" s="1448"/>
      <c r="S275" s="1448"/>
      <c r="T275" s="1448"/>
      <c r="U275" s="1448"/>
      <c r="V275" s="1448"/>
      <c r="W275" s="1448"/>
      <c r="X275" s="1448"/>
      <c r="Y275" s="1448"/>
      <c r="Z275" s="1448"/>
      <c r="AA275" s="1448"/>
      <c r="AB275" s="1448"/>
      <c r="AC275" s="1448"/>
      <c r="AD275" s="144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8" t="s">
        <v>2662</v>
      </c>
      <c r="M276" s="1448"/>
      <c r="N276" s="1448"/>
      <c r="O276" s="1448"/>
      <c r="P276" s="1448"/>
      <c r="Q276" s="1448"/>
      <c r="R276" s="1448"/>
      <c r="S276" s="1448"/>
      <c r="U276" s="33" t="s">
        <v>86</v>
      </c>
      <c r="V276" s="1489" t="s">
        <v>2645</v>
      </c>
      <c r="W276" s="1489"/>
      <c r="X276" s="4" t="s">
        <v>592</v>
      </c>
      <c r="AB276" s="1448">
        <v>92780</v>
      </c>
      <c r="AC276" s="1448"/>
      <c r="AD276" s="144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8" t="s">
        <v>2663</v>
      </c>
      <c r="M277" s="1448"/>
      <c r="N277" s="1448"/>
      <c r="O277" s="1448"/>
      <c r="P277" s="1448"/>
      <c r="Q277" s="1448"/>
      <c r="R277" s="1448"/>
      <c r="S277" s="1448"/>
      <c r="T277" s="1448"/>
      <c r="U277" s="1448"/>
      <c r="V277" s="1448"/>
      <c r="W277" s="1448"/>
      <c r="X277" s="1448"/>
      <c r="Y277" s="1448"/>
      <c r="Z277" s="1448"/>
      <c r="AA277" s="1448"/>
      <c r="AB277" s="1448"/>
      <c r="AC277" s="1448"/>
      <c r="AD277" s="1448"/>
      <c r="AI277" s="4"/>
      <c r="AJ277" s="4"/>
      <c r="AK277" s="3"/>
      <c r="AL277" s="3"/>
      <c r="AM277" s="3"/>
      <c r="AN277" s="3"/>
      <c r="AO277" s="3"/>
      <c r="AP277" s="3"/>
      <c r="AQ277" s="3"/>
      <c r="AR277" s="3"/>
      <c r="AS277" s="3"/>
      <c r="AT277" s="3"/>
      <c r="BN277" s="34"/>
    </row>
    <row r="278" spans="1:66" ht="12.95" customHeight="1">
      <c r="D278" s="4" t="s">
        <v>88</v>
      </c>
      <c r="E278" s="4"/>
      <c r="F278" s="4"/>
      <c r="L278" s="1465" t="s">
        <v>2664</v>
      </c>
      <c r="M278" s="1465"/>
      <c r="N278" s="1465"/>
      <c r="O278" s="1465"/>
      <c r="P278" s="1465"/>
      <c r="Q278" s="1465"/>
      <c r="R278" s="4" t="s">
        <v>207</v>
      </c>
      <c r="S278" s="4"/>
      <c r="T278" s="1489"/>
      <c r="U278" s="1489"/>
      <c r="V278" s="1489"/>
      <c r="W278" s="4" t="s">
        <v>89</v>
      </c>
      <c r="Y278" s="1465"/>
      <c r="Z278" s="1465"/>
      <c r="AA278" s="1465"/>
      <c r="AB278" s="1465"/>
      <c r="AC278" s="1465"/>
      <c r="AD278" s="1465"/>
      <c r="BN278" s="34"/>
    </row>
    <row r="279" spans="1:66" ht="12.95" customHeight="1">
      <c r="D279" s="4" t="s">
        <v>90</v>
      </c>
      <c r="E279" s="4"/>
      <c r="F279" s="4"/>
      <c r="L279" s="1789" t="s">
        <v>2665</v>
      </c>
      <c r="M279" s="1789"/>
      <c r="N279" s="1789"/>
      <c r="O279" s="1789"/>
      <c r="P279" s="1789"/>
      <c r="Q279" s="1789"/>
      <c r="R279" s="1789"/>
      <c r="S279" s="1789"/>
      <c r="T279" s="1789"/>
      <c r="U279" s="1789"/>
      <c r="V279" s="1789"/>
      <c r="W279" s="1789"/>
      <c r="X279" s="1789"/>
      <c r="Y279" s="1789"/>
      <c r="Z279" s="1789"/>
      <c r="AA279" s="1789"/>
      <c r="AB279" s="1789"/>
      <c r="AC279" s="1789"/>
      <c r="AD279" s="1789"/>
      <c r="AF279" s="4"/>
      <c r="AG279" s="4"/>
      <c r="AH279" s="4"/>
      <c r="AI279" s="4"/>
      <c r="AJ279" s="4"/>
      <c r="AU279" s="3"/>
      <c r="AV279" s="3"/>
      <c r="AW279" s="3"/>
      <c r="AX279" s="3"/>
      <c r="AY279" s="3"/>
      <c r="BN279" s="34"/>
    </row>
    <row r="280" spans="1:66" ht="12.95" customHeight="1">
      <c r="D280" s="3" t="s">
        <v>632</v>
      </c>
      <c r="E280" s="3"/>
      <c r="F280" s="3"/>
      <c r="G280" s="3"/>
      <c r="H280" s="3"/>
      <c r="I280" s="3"/>
      <c r="L280" s="1553" t="s">
        <v>2666</v>
      </c>
      <c r="M280" s="1553"/>
      <c r="N280" s="1553"/>
      <c r="O280" s="1553"/>
      <c r="P280" s="1553"/>
      <c r="Q280" s="1553"/>
      <c r="R280" s="1553"/>
      <c r="S280" s="1553"/>
      <c r="T280" s="1553"/>
      <c r="U280" s="1553"/>
      <c r="V280" s="1553"/>
      <c r="W280" s="1553"/>
      <c r="X280" s="1553"/>
      <c r="Y280" s="1553"/>
      <c r="Z280" s="1553"/>
      <c r="AA280" s="1553"/>
      <c r="AB280" s="1553"/>
      <c r="AC280" s="1553"/>
      <c r="AD280" s="1553"/>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6" t="s">
        <v>550</v>
      </c>
      <c r="B282" s="1466"/>
      <c r="C282" s="1466"/>
      <c r="D282" s="1466"/>
      <c r="E282" s="1466"/>
      <c r="F282" s="1466"/>
      <c r="G282" s="1466"/>
      <c r="H282" s="1466"/>
      <c r="I282" s="1466"/>
      <c r="J282" s="1466"/>
      <c r="K282" s="1466"/>
      <c r="L282" s="1466"/>
      <c r="M282" s="1466"/>
      <c r="N282" s="1466"/>
      <c r="O282" s="1466"/>
      <c r="P282" s="1466"/>
      <c r="Q282" s="1466"/>
      <c r="R282" s="1466"/>
      <c r="S282" s="1466"/>
      <c r="T282" s="1466"/>
      <c r="U282" s="1466"/>
      <c r="V282" s="1466"/>
      <c r="W282" s="1466"/>
      <c r="X282" s="1466"/>
      <c r="Y282" s="1466"/>
      <c r="Z282" s="1466"/>
      <c r="AA282" s="1466"/>
      <c r="AB282" s="1466"/>
      <c r="AC282" s="1466"/>
      <c r="AD282" s="1466"/>
      <c r="AE282" s="1466"/>
      <c r="AF282" s="1466"/>
      <c r="AG282" s="1466"/>
      <c r="AH282" s="1466"/>
      <c r="AI282" s="1466"/>
      <c r="AJ282" s="1466"/>
      <c r="AK282" s="1466"/>
      <c r="AL282" s="1466"/>
      <c r="AM282" s="1466"/>
      <c r="AN282" s="1466"/>
      <c r="AO282" s="1466"/>
      <c r="AP282" s="1466"/>
      <c r="AQ282" s="1466"/>
      <c r="AR282" s="1466"/>
      <c r="AS282" s="1466"/>
      <c r="AT282" s="1466"/>
      <c r="AU282" s="95"/>
      <c r="AV282" s="95"/>
      <c r="AW282" s="95"/>
      <c r="AX282" s="95"/>
      <c r="AY282" s="95"/>
      <c r="BN282" s="34"/>
    </row>
    <row r="283" spans="1:66" ht="12.95" customHeight="1">
      <c r="A283" s="1466"/>
      <c r="B283" s="1466"/>
      <c r="C283" s="1466"/>
      <c r="D283" s="1466"/>
      <c r="E283" s="1466"/>
      <c r="F283" s="1466"/>
      <c r="G283" s="1466"/>
      <c r="H283" s="1466"/>
      <c r="I283" s="1466"/>
      <c r="J283" s="1466"/>
      <c r="K283" s="1466"/>
      <c r="L283" s="1466"/>
      <c r="M283" s="1466"/>
      <c r="N283" s="1466"/>
      <c r="O283" s="1466"/>
      <c r="P283" s="1466"/>
      <c r="Q283" s="1466"/>
      <c r="R283" s="1466"/>
      <c r="S283" s="1466"/>
      <c r="T283" s="1466"/>
      <c r="U283" s="1466"/>
      <c r="V283" s="1466"/>
      <c r="W283" s="1466"/>
      <c r="X283" s="1466"/>
      <c r="Y283" s="1466"/>
      <c r="Z283" s="1466"/>
      <c r="AA283" s="1466"/>
      <c r="AB283" s="1466"/>
      <c r="AC283" s="1466"/>
      <c r="AD283" s="1466"/>
      <c r="AE283" s="1466"/>
      <c r="AF283" s="1466"/>
      <c r="AG283" s="1466"/>
      <c r="AH283" s="1466"/>
      <c r="AI283" s="1466"/>
      <c r="AJ283" s="1466"/>
      <c r="AK283" s="1466"/>
      <c r="AL283" s="1466"/>
      <c r="AM283" s="1466"/>
      <c r="AN283" s="1466"/>
      <c r="AO283" s="1466"/>
      <c r="AP283" s="1466"/>
      <c r="AQ283" s="1466"/>
      <c r="AR283" s="1466"/>
      <c r="AS283" s="1466"/>
      <c r="AT283" s="146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47" t="s">
        <v>2790</v>
      </c>
      <c r="I287" s="1406"/>
      <c r="J287" s="1406"/>
      <c r="K287" s="1406"/>
      <c r="L287" s="1406"/>
      <c r="M287" s="1406"/>
      <c r="N287" s="1406"/>
      <c r="O287" s="1406"/>
      <c r="P287" s="1406"/>
      <c r="Q287" s="1406"/>
      <c r="R287" s="1406"/>
      <c r="T287" s="3" t="s">
        <v>576</v>
      </c>
      <c r="V287" s="3"/>
      <c r="W287" s="3"/>
      <c r="X287" s="3"/>
      <c r="Y287" s="3"/>
      <c r="AA287" s="1406" t="s">
        <v>2668</v>
      </c>
      <c r="AB287" s="1406"/>
      <c r="AC287" s="1406"/>
      <c r="AD287" s="1406"/>
      <c r="AE287" s="1406"/>
      <c r="AF287" s="1406"/>
      <c r="AG287" s="1406"/>
      <c r="AH287" s="1406"/>
      <c r="AI287" s="1406"/>
      <c r="AJ287" s="1406"/>
      <c r="AK287" s="1406"/>
      <c r="BN287" s="34"/>
    </row>
    <row r="288" spans="1:66" ht="12.95" customHeight="1">
      <c r="B288" s="3" t="s">
        <v>480</v>
      </c>
      <c r="C288" s="3"/>
      <c r="D288" s="3"/>
      <c r="E288" s="3"/>
      <c r="F288" s="3"/>
      <c r="H288" s="1407" t="s">
        <v>2643</v>
      </c>
      <c r="I288" s="1407"/>
      <c r="J288" s="1407"/>
      <c r="K288" s="1407"/>
      <c r="L288" s="1407"/>
      <c r="M288" s="1407"/>
      <c r="N288" s="1407"/>
      <c r="O288" s="1407"/>
      <c r="P288" s="1407"/>
      <c r="Q288" s="1407"/>
      <c r="R288" s="1407"/>
      <c r="T288" s="3" t="s">
        <v>480</v>
      </c>
      <c r="V288" s="3"/>
      <c r="W288" s="3"/>
      <c r="X288" s="3"/>
      <c r="Y288" s="3"/>
      <c r="AA288" s="1407" t="s">
        <v>2669</v>
      </c>
      <c r="AB288" s="1407"/>
      <c r="AC288" s="1407"/>
      <c r="AD288" s="1407"/>
      <c r="AE288" s="1407"/>
      <c r="AF288" s="1407"/>
      <c r="AG288" s="1407"/>
      <c r="AH288" s="1407"/>
      <c r="AI288" s="1407"/>
      <c r="AJ288" s="1407"/>
      <c r="AK288" s="1407"/>
      <c r="BN288" s="34"/>
    </row>
    <row r="289" spans="2:66" ht="12.95" customHeight="1">
      <c r="B289" s="3" t="s">
        <v>481</v>
      </c>
      <c r="C289" s="3"/>
      <c r="D289" s="3"/>
      <c r="E289" s="3"/>
      <c r="F289" s="3"/>
      <c r="H289" s="1407" t="s">
        <v>2667</v>
      </c>
      <c r="I289" s="1407"/>
      <c r="J289" s="1407"/>
      <c r="K289" s="1407"/>
      <c r="L289" s="1407"/>
      <c r="M289" s="1407"/>
      <c r="N289" s="1407"/>
      <c r="O289" s="1407"/>
      <c r="P289" s="1407"/>
      <c r="Q289" s="1407"/>
      <c r="R289" s="1407"/>
      <c r="T289" s="3" t="s">
        <v>75</v>
      </c>
      <c r="V289" s="3"/>
      <c r="W289" s="3"/>
      <c r="X289" s="3"/>
      <c r="Y289" s="3"/>
      <c r="AA289" s="1407" t="s">
        <v>2670</v>
      </c>
      <c r="AB289" s="1407"/>
      <c r="AC289" s="1407"/>
      <c r="AD289" s="1407"/>
      <c r="AE289" s="1407"/>
      <c r="AF289" s="1407"/>
      <c r="AG289" s="1407"/>
      <c r="AH289" s="1407"/>
      <c r="AI289" s="1407"/>
      <c r="AJ289" s="1407"/>
      <c r="AK289" s="1407"/>
      <c r="BN289" s="34"/>
    </row>
    <row r="290" spans="2:66" ht="12.95" customHeight="1">
      <c r="B290" s="3" t="s">
        <v>87</v>
      </c>
      <c r="C290" s="3"/>
      <c r="D290" s="3"/>
      <c r="E290" s="3"/>
      <c r="F290" s="3"/>
      <c r="H290" s="1407" t="s">
        <v>2646</v>
      </c>
      <c r="I290" s="1407"/>
      <c r="J290" s="1407"/>
      <c r="K290" s="1407"/>
      <c r="L290" s="1407"/>
      <c r="M290" s="1407"/>
      <c r="N290" s="1407"/>
      <c r="O290" s="1407"/>
      <c r="P290" s="1407"/>
      <c r="Q290" s="1407"/>
      <c r="R290" s="1407"/>
      <c r="T290" s="3" t="s">
        <v>87</v>
      </c>
      <c r="V290" s="3"/>
      <c r="W290" s="3"/>
      <c r="X290" s="3"/>
      <c r="Y290" s="3"/>
      <c r="AA290" s="1407" t="s">
        <v>2671</v>
      </c>
      <c r="AB290" s="1407"/>
      <c r="AC290" s="1407"/>
      <c r="AD290" s="1407"/>
      <c r="AE290" s="1407"/>
      <c r="AF290" s="1407"/>
      <c r="AG290" s="1407"/>
      <c r="AH290" s="1407"/>
      <c r="AI290" s="1407"/>
      <c r="AJ290" s="1407"/>
      <c r="AK290" s="1407"/>
      <c r="BN290" s="34"/>
    </row>
    <row r="291" spans="2:66" ht="12.95" customHeight="1">
      <c r="B291" s="3" t="s">
        <v>88</v>
      </c>
      <c r="C291" s="3"/>
      <c r="D291" s="3"/>
      <c r="E291" s="3"/>
      <c r="F291" s="3"/>
      <c r="G291" s="3"/>
      <c r="H291" s="1468" t="s">
        <v>2647</v>
      </c>
      <c r="I291" s="1468"/>
      <c r="J291" s="1468"/>
      <c r="K291" s="1468"/>
      <c r="L291" s="1468"/>
      <c r="M291" s="1468"/>
      <c r="N291" s="4" t="s">
        <v>207</v>
      </c>
      <c r="O291" s="4"/>
      <c r="P291" s="1448"/>
      <c r="Q291" s="1448"/>
      <c r="R291" s="1448"/>
      <c r="S291" s="3"/>
      <c r="T291" s="3" t="s">
        <v>88</v>
      </c>
      <c r="V291" s="3"/>
      <c r="W291" s="3"/>
      <c r="X291" s="3"/>
      <c r="Y291" s="3"/>
      <c r="AA291" s="1468" t="s">
        <v>2672</v>
      </c>
      <c r="AB291" s="1468"/>
      <c r="AC291" s="1468"/>
      <c r="AD291" s="1468"/>
      <c r="AE291" s="1468"/>
      <c r="AF291" s="1468"/>
      <c r="AG291" s="4" t="s">
        <v>207</v>
      </c>
      <c r="AH291" s="4"/>
      <c r="AI291" s="1448"/>
      <c r="AJ291" s="1448"/>
      <c r="AK291" s="1448"/>
      <c r="BN291" s="34"/>
    </row>
    <row r="292" spans="2:66" ht="12.95" customHeight="1">
      <c r="B292" s="3" t="s">
        <v>89</v>
      </c>
      <c r="C292" s="3"/>
      <c r="D292" s="3"/>
      <c r="E292" s="3"/>
      <c r="F292" s="3"/>
      <c r="G292" s="3"/>
      <c r="H292" s="1465"/>
      <c r="I292" s="1465"/>
      <c r="J292" s="1465"/>
      <c r="K292" s="1465"/>
      <c r="L292" s="1465"/>
      <c r="M292" s="1465"/>
      <c r="N292" s="4"/>
      <c r="O292" s="4"/>
      <c r="P292" s="35"/>
      <c r="Q292" s="35"/>
      <c r="R292" s="35"/>
      <c r="S292" s="3"/>
      <c r="T292" s="3" t="s">
        <v>89</v>
      </c>
      <c r="V292" s="3"/>
      <c r="W292" s="3"/>
      <c r="X292" s="3"/>
      <c r="Y292" s="3"/>
      <c r="AA292" s="1465"/>
      <c r="AB292" s="1465"/>
      <c r="AC292" s="1465"/>
      <c r="AD292" s="1465"/>
      <c r="AE292" s="1465"/>
      <c r="AF292" s="1465"/>
      <c r="AG292" s="4"/>
      <c r="AH292" s="4"/>
      <c r="AI292" s="35"/>
      <c r="AJ292" s="35"/>
      <c r="AK292" s="35"/>
      <c r="BN292" s="34"/>
    </row>
    <row r="293" spans="2:66" ht="12.95" customHeight="1">
      <c r="B293" s="3" t="s">
        <v>76</v>
      </c>
      <c r="C293" s="3"/>
      <c r="D293" s="3"/>
      <c r="E293" s="3"/>
      <c r="F293" s="3"/>
      <c r="G293" s="3"/>
      <c r="H293" s="1407" t="s">
        <v>2648</v>
      </c>
      <c r="I293" s="1407"/>
      <c r="J293" s="1407"/>
      <c r="K293" s="1407"/>
      <c r="L293" s="1407"/>
      <c r="M293" s="1407"/>
      <c r="N293" s="1406"/>
      <c r="O293" s="1406"/>
      <c r="P293" s="1406"/>
      <c r="Q293" s="1406"/>
      <c r="R293" s="1406"/>
      <c r="S293" s="3"/>
      <c r="T293" s="3" t="s">
        <v>76</v>
      </c>
      <c r="V293" s="3"/>
      <c r="W293" s="3"/>
      <c r="X293" s="3"/>
      <c r="Y293" s="3"/>
      <c r="AA293" s="1407" t="s">
        <v>2673</v>
      </c>
      <c r="AB293" s="1407"/>
      <c r="AC293" s="1407"/>
      <c r="AD293" s="1407"/>
      <c r="AE293" s="1407"/>
      <c r="AF293" s="1407"/>
      <c r="AG293" s="1406"/>
      <c r="AH293" s="1406"/>
      <c r="AI293" s="1406"/>
      <c r="AJ293" s="1406"/>
      <c r="AK293" s="140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6" t="s">
        <v>2674</v>
      </c>
      <c r="I295" s="1406"/>
      <c r="J295" s="1406"/>
      <c r="K295" s="1406"/>
      <c r="L295" s="1406"/>
      <c r="M295" s="1406"/>
      <c r="N295" s="1406"/>
      <c r="O295" s="1406"/>
      <c r="P295" s="1406"/>
      <c r="Q295" s="1406"/>
      <c r="R295" s="1406"/>
      <c r="T295" s="3" t="s">
        <v>365</v>
      </c>
      <c r="V295" s="3"/>
      <c r="W295" s="3"/>
      <c r="X295" s="3"/>
      <c r="Y295" s="3"/>
      <c r="AA295" s="1406"/>
      <c r="AB295" s="1406"/>
      <c r="AC295" s="1406"/>
      <c r="AD295" s="1406"/>
      <c r="AE295" s="1406"/>
      <c r="AF295" s="1406"/>
      <c r="AG295" s="1406"/>
      <c r="AH295" s="1406"/>
      <c r="AI295" s="1406"/>
      <c r="AJ295" s="1406"/>
      <c r="AK295" s="1406"/>
      <c r="BN295" s="34"/>
    </row>
    <row r="296" spans="2:66" ht="12.95" customHeight="1">
      <c r="B296" s="3" t="s">
        <v>480</v>
      </c>
      <c r="C296" s="3"/>
      <c r="D296" s="3"/>
      <c r="E296" s="3"/>
      <c r="F296" s="3"/>
      <c r="H296" s="1407" t="s">
        <v>2675</v>
      </c>
      <c r="I296" s="1407"/>
      <c r="J296" s="1407"/>
      <c r="K296" s="1407"/>
      <c r="L296" s="1407"/>
      <c r="M296" s="1407"/>
      <c r="N296" s="1407"/>
      <c r="O296" s="1407"/>
      <c r="P296" s="1407"/>
      <c r="Q296" s="1407"/>
      <c r="R296" s="1407"/>
      <c r="T296" s="3" t="s">
        <v>480</v>
      </c>
      <c r="V296" s="3"/>
      <c r="W296" s="3"/>
      <c r="X296" s="3"/>
      <c r="Y296" s="3"/>
      <c r="AA296" s="1407"/>
      <c r="AB296" s="1407"/>
      <c r="AC296" s="1407"/>
      <c r="AD296" s="1407"/>
      <c r="AE296" s="1407"/>
      <c r="AF296" s="1407"/>
      <c r="AG296" s="1407"/>
      <c r="AH296" s="1407"/>
      <c r="AI296" s="1407"/>
      <c r="AJ296" s="1407"/>
      <c r="AK296" s="1407"/>
      <c r="BN296" s="34"/>
    </row>
    <row r="297" spans="2:66" ht="12.95" customHeight="1">
      <c r="B297" s="3" t="s">
        <v>481</v>
      </c>
      <c r="C297" s="3"/>
      <c r="D297" s="3"/>
      <c r="E297" s="3"/>
      <c r="F297" s="3"/>
      <c r="H297" s="1407" t="s">
        <v>2676</v>
      </c>
      <c r="I297" s="1407"/>
      <c r="J297" s="1407"/>
      <c r="K297" s="1407"/>
      <c r="L297" s="1407"/>
      <c r="M297" s="1407"/>
      <c r="N297" s="1407"/>
      <c r="O297" s="1407"/>
      <c r="P297" s="1407"/>
      <c r="Q297" s="1407"/>
      <c r="R297" s="1407"/>
      <c r="T297" s="3" t="s">
        <v>75</v>
      </c>
      <c r="V297" s="3"/>
      <c r="W297" s="3"/>
      <c r="X297" s="3"/>
      <c r="Y297" s="3"/>
      <c r="AA297" s="1407"/>
      <c r="AB297" s="1407"/>
      <c r="AC297" s="1407"/>
      <c r="AD297" s="1407"/>
      <c r="AE297" s="1407"/>
      <c r="AF297" s="1407"/>
      <c r="AG297" s="1407"/>
      <c r="AH297" s="1407"/>
      <c r="AI297" s="1407"/>
      <c r="AJ297" s="1407"/>
      <c r="AK297" s="1407"/>
      <c r="BN297" s="34"/>
    </row>
    <row r="298" spans="2:66" ht="12.95" customHeight="1">
      <c r="B298" s="3" t="s">
        <v>87</v>
      </c>
      <c r="C298" s="3"/>
      <c r="D298" s="3"/>
      <c r="E298" s="3"/>
      <c r="F298" s="3"/>
      <c r="H298" s="1407" t="s">
        <v>2677</v>
      </c>
      <c r="I298" s="1407"/>
      <c r="J298" s="1407"/>
      <c r="K298" s="1407"/>
      <c r="L298" s="1407"/>
      <c r="M298" s="1407"/>
      <c r="N298" s="1407"/>
      <c r="O298" s="1407"/>
      <c r="P298" s="1407"/>
      <c r="Q298" s="1407"/>
      <c r="R298" s="1407"/>
      <c r="T298" s="3" t="s">
        <v>87</v>
      </c>
      <c r="V298" s="3"/>
      <c r="W298" s="3"/>
      <c r="X298" s="3"/>
      <c r="Y298" s="3"/>
      <c r="AA298" s="1407"/>
      <c r="AB298" s="1407"/>
      <c r="AC298" s="1407"/>
      <c r="AD298" s="1407"/>
      <c r="AE298" s="1407"/>
      <c r="AF298" s="1407"/>
      <c r="AG298" s="1407"/>
      <c r="AH298" s="1407"/>
      <c r="AI298" s="1407"/>
      <c r="AJ298" s="1407"/>
      <c r="AK298" s="1407"/>
      <c r="BN298" s="34"/>
    </row>
    <row r="299" spans="2:66" ht="12.95" customHeight="1">
      <c r="B299" s="3" t="s">
        <v>88</v>
      </c>
      <c r="C299" s="3"/>
      <c r="D299" s="3"/>
      <c r="E299" s="3"/>
      <c r="F299" s="3"/>
      <c r="G299" s="3"/>
      <c r="H299" s="1468" t="s">
        <v>2678</v>
      </c>
      <c r="I299" s="1468"/>
      <c r="J299" s="1468"/>
      <c r="K299" s="1468"/>
      <c r="L299" s="1468"/>
      <c r="M299" s="1468"/>
      <c r="N299" s="4" t="s">
        <v>207</v>
      </c>
      <c r="O299" s="4"/>
      <c r="P299" s="1448"/>
      <c r="Q299" s="1448"/>
      <c r="R299" s="1448"/>
      <c r="S299" s="3"/>
      <c r="T299" s="3" t="s">
        <v>88</v>
      </c>
      <c r="V299" s="3"/>
      <c r="W299" s="3"/>
      <c r="X299" s="3"/>
      <c r="Y299" s="3"/>
      <c r="AA299" s="1468"/>
      <c r="AB299" s="1468"/>
      <c r="AC299" s="1468"/>
      <c r="AD299" s="1468"/>
      <c r="AE299" s="1468"/>
      <c r="AF299" s="1468"/>
      <c r="AG299" s="4" t="s">
        <v>207</v>
      </c>
      <c r="AH299" s="4"/>
      <c r="AI299" s="1448"/>
      <c r="AJ299" s="1448"/>
      <c r="AK299" s="1448"/>
      <c r="BN299" s="34"/>
    </row>
    <row r="300" spans="2:66" ht="12.95" customHeight="1">
      <c r="B300" s="3" t="s">
        <v>89</v>
      </c>
      <c r="C300" s="3"/>
      <c r="D300" s="3"/>
      <c r="E300" s="3"/>
      <c r="F300" s="3"/>
      <c r="G300" s="3"/>
      <c r="H300" s="1465"/>
      <c r="I300" s="1465"/>
      <c r="J300" s="1465"/>
      <c r="K300" s="1465"/>
      <c r="L300" s="1465"/>
      <c r="M300" s="1465"/>
      <c r="N300" s="4"/>
      <c r="O300" s="4"/>
      <c r="P300" s="35"/>
      <c r="Q300" s="35"/>
      <c r="R300" s="35"/>
      <c r="S300" s="3"/>
      <c r="T300" s="3" t="s">
        <v>89</v>
      </c>
      <c r="V300" s="3"/>
      <c r="W300" s="3"/>
      <c r="X300" s="3"/>
      <c r="Y300" s="3"/>
      <c r="AA300" s="1465"/>
      <c r="AB300" s="1465"/>
      <c r="AC300" s="1465"/>
      <c r="AD300" s="1465"/>
      <c r="AE300" s="1465"/>
      <c r="AF300" s="1465"/>
      <c r="AG300" s="4"/>
      <c r="AH300" s="4"/>
      <c r="AI300" s="35"/>
      <c r="AJ300" s="35"/>
      <c r="AK300" s="35"/>
      <c r="BN300" s="34"/>
    </row>
    <row r="301" spans="2:66" ht="12.95" customHeight="1">
      <c r="B301" s="3" t="s">
        <v>76</v>
      </c>
      <c r="C301" s="3"/>
      <c r="D301" s="3"/>
      <c r="E301" s="3"/>
      <c r="F301" s="3"/>
      <c r="G301" s="3"/>
      <c r="H301" s="1407" t="s">
        <v>2679</v>
      </c>
      <c r="I301" s="1407"/>
      <c r="J301" s="1407"/>
      <c r="K301" s="1407"/>
      <c r="L301" s="1407"/>
      <c r="M301" s="1407"/>
      <c r="N301" s="1406"/>
      <c r="O301" s="1406"/>
      <c r="P301" s="1406"/>
      <c r="Q301" s="1406"/>
      <c r="R301" s="1406"/>
      <c r="S301" s="3"/>
      <c r="T301" s="3" t="s">
        <v>76</v>
      </c>
      <c r="V301" s="3"/>
      <c r="W301" s="3"/>
      <c r="X301" s="3"/>
      <c r="Y301" s="3"/>
      <c r="AA301" s="1407"/>
      <c r="AB301" s="1407"/>
      <c r="AC301" s="1407"/>
      <c r="AD301" s="1407"/>
      <c r="AE301" s="1407"/>
      <c r="AF301" s="1407"/>
      <c r="AG301" s="1406"/>
      <c r="AH301" s="1406"/>
      <c r="AI301" s="1406"/>
      <c r="AJ301" s="1406"/>
      <c r="AK301" s="1406"/>
      <c r="BN301" s="34"/>
    </row>
    <row r="302" spans="2:66" ht="12.95" customHeight="1">
      <c r="BN302" s="34"/>
    </row>
    <row r="303" spans="2:66" ht="12.95" customHeight="1">
      <c r="B303" s="3" t="s">
        <v>77</v>
      </c>
      <c r="C303" s="3"/>
      <c r="D303" s="3"/>
      <c r="E303" s="3"/>
      <c r="F303" s="3"/>
      <c r="H303" s="1406"/>
      <c r="I303" s="1406"/>
      <c r="J303" s="1406"/>
      <c r="K303" s="1406"/>
      <c r="L303" s="1406"/>
      <c r="M303" s="1406"/>
      <c r="N303" s="1406"/>
      <c r="O303" s="1406"/>
      <c r="P303" s="1406"/>
      <c r="Q303" s="1406"/>
      <c r="R303" s="1406"/>
      <c r="T303" s="4" t="s">
        <v>891</v>
      </c>
      <c r="V303" s="3"/>
      <c r="W303" s="3"/>
      <c r="X303" s="3"/>
      <c r="Y303" s="3"/>
      <c r="AA303" s="1406"/>
      <c r="AB303" s="1406"/>
      <c r="AC303" s="1406"/>
      <c r="AD303" s="1406"/>
      <c r="AE303" s="1406"/>
      <c r="AF303" s="1406"/>
      <c r="AG303" s="1406"/>
      <c r="AH303" s="1406"/>
      <c r="AI303" s="1406"/>
      <c r="AJ303" s="1406"/>
      <c r="AK303" s="1406"/>
      <c r="BN303" s="34"/>
    </row>
    <row r="304" spans="2:66" ht="12.95" customHeight="1">
      <c r="B304" s="3" t="s">
        <v>480</v>
      </c>
      <c r="C304" s="3"/>
      <c r="D304" s="3"/>
      <c r="E304" s="3"/>
      <c r="F304" s="3"/>
      <c r="H304" s="1407"/>
      <c r="I304" s="1407"/>
      <c r="J304" s="1407"/>
      <c r="K304" s="1407"/>
      <c r="L304" s="1407"/>
      <c r="M304" s="1407"/>
      <c r="N304" s="1407"/>
      <c r="O304" s="1407"/>
      <c r="P304" s="1407"/>
      <c r="Q304" s="1407"/>
      <c r="R304" s="1407"/>
      <c r="T304" s="3" t="s">
        <v>480</v>
      </c>
      <c r="V304" s="3"/>
      <c r="W304" s="3"/>
      <c r="X304" s="3"/>
      <c r="Y304" s="3"/>
      <c r="AA304" s="1407"/>
      <c r="AB304" s="1407"/>
      <c r="AC304" s="1407"/>
      <c r="AD304" s="1407"/>
      <c r="AE304" s="1407"/>
      <c r="AF304" s="1407"/>
      <c r="AG304" s="1407"/>
      <c r="AH304" s="1407"/>
      <c r="AI304" s="1407"/>
      <c r="AJ304" s="1407"/>
      <c r="AK304" s="1407"/>
      <c r="BN304" s="34"/>
    </row>
    <row r="305" spans="2:66" ht="12.95" customHeight="1">
      <c r="B305" s="3" t="s">
        <v>481</v>
      </c>
      <c r="C305" s="3"/>
      <c r="D305" s="3"/>
      <c r="E305" s="3"/>
      <c r="F305" s="3"/>
      <c r="H305" s="1407"/>
      <c r="I305" s="1407"/>
      <c r="J305" s="1407"/>
      <c r="K305" s="1407"/>
      <c r="L305" s="1407"/>
      <c r="M305" s="1407"/>
      <c r="N305" s="1407"/>
      <c r="O305" s="1407"/>
      <c r="P305" s="1407"/>
      <c r="Q305" s="1407"/>
      <c r="R305" s="1407"/>
      <c r="T305" s="3" t="s">
        <v>75</v>
      </c>
      <c r="V305" s="3"/>
      <c r="W305" s="3"/>
      <c r="X305" s="3"/>
      <c r="Y305" s="3"/>
      <c r="AA305" s="1407"/>
      <c r="AB305" s="1407"/>
      <c r="AC305" s="1407"/>
      <c r="AD305" s="1407"/>
      <c r="AE305" s="1407"/>
      <c r="AF305" s="1407"/>
      <c r="AG305" s="1407"/>
      <c r="AH305" s="1407"/>
      <c r="AI305" s="1407"/>
      <c r="AJ305" s="1407"/>
      <c r="AK305" s="1407"/>
      <c r="BN305" s="34"/>
    </row>
    <row r="306" spans="2:66" ht="12.95" customHeight="1">
      <c r="B306" s="3" t="s">
        <v>87</v>
      </c>
      <c r="C306" s="3"/>
      <c r="D306" s="3"/>
      <c r="E306" s="3"/>
      <c r="F306" s="3"/>
      <c r="H306" s="1407"/>
      <c r="I306" s="1407"/>
      <c r="J306" s="1407"/>
      <c r="K306" s="1407"/>
      <c r="L306" s="1407"/>
      <c r="M306" s="1407"/>
      <c r="N306" s="1407"/>
      <c r="O306" s="1407"/>
      <c r="P306" s="1407"/>
      <c r="Q306" s="1407"/>
      <c r="R306" s="1407"/>
      <c r="T306" s="3" t="s">
        <v>87</v>
      </c>
      <c r="V306" s="3"/>
      <c r="W306" s="3"/>
      <c r="X306" s="3"/>
      <c r="Y306" s="3"/>
      <c r="AA306" s="1407"/>
      <c r="AB306" s="1407"/>
      <c r="AC306" s="1407"/>
      <c r="AD306" s="1407"/>
      <c r="AE306" s="1407"/>
      <c r="AF306" s="1407"/>
      <c r="AG306" s="1407"/>
      <c r="AH306" s="1407"/>
      <c r="AI306" s="1407"/>
      <c r="AJ306" s="1407"/>
      <c r="AK306" s="1407"/>
      <c r="BN306" s="34"/>
    </row>
    <row r="307" spans="2:66" ht="12.95" customHeight="1">
      <c r="B307" s="3" t="s">
        <v>88</v>
      </c>
      <c r="C307" s="3"/>
      <c r="D307" s="3"/>
      <c r="E307" s="3"/>
      <c r="F307" s="3"/>
      <c r="G307" s="3"/>
      <c r="H307" s="1468"/>
      <c r="I307" s="1468"/>
      <c r="J307" s="1468"/>
      <c r="K307" s="1468"/>
      <c r="L307" s="1468"/>
      <c r="M307" s="1468"/>
      <c r="N307" s="4" t="s">
        <v>207</v>
      </c>
      <c r="O307" s="4"/>
      <c r="P307" s="1448"/>
      <c r="Q307" s="1448"/>
      <c r="R307" s="1448"/>
      <c r="S307" s="3"/>
      <c r="T307" s="3" t="s">
        <v>88</v>
      </c>
      <c r="V307" s="3"/>
      <c r="W307" s="3"/>
      <c r="X307" s="3"/>
      <c r="Y307" s="3"/>
      <c r="AA307" s="1468"/>
      <c r="AB307" s="1468"/>
      <c r="AC307" s="1468"/>
      <c r="AD307" s="1468"/>
      <c r="AE307" s="1468"/>
      <c r="AF307" s="1468"/>
      <c r="AG307" s="4" t="s">
        <v>207</v>
      </c>
      <c r="AH307" s="4"/>
      <c r="AI307" s="1448"/>
      <c r="AJ307" s="1448"/>
      <c r="AK307" s="1448"/>
      <c r="BN307" s="34"/>
    </row>
    <row r="308" spans="2:66" ht="12.95" customHeight="1">
      <c r="B308" s="3" t="s">
        <v>89</v>
      </c>
      <c r="C308" s="3"/>
      <c r="D308" s="3"/>
      <c r="E308" s="3"/>
      <c r="F308" s="3"/>
      <c r="G308" s="3"/>
      <c r="H308" s="1465"/>
      <c r="I308" s="1465"/>
      <c r="J308" s="1465"/>
      <c r="K308" s="1465"/>
      <c r="L308" s="1465"/>
      <c r="M308" s="1465"/>
      <c r="N308" s="4"/>
      <c r="O308" s="4"/>
      <c r="P308" s="35"/>
      <c r="Q308" s="35"/>
      <c r="R308" s="35"/>
      <c r="S308" s="3"/>
      <c r="T308" s="3" t="s">
        <v>89</v>
      </c>
      <c r="V308" s="3"/>
      <c r="W308" s="3"/>
      <c r="X308" s="3"/>
      <c r="Y308" s="3"/>
      <c r="AA308" s="1465"/>
      <c r="AB308" s="1465"/>
      <c r="AC308" s="1465"/>
      <c r="AD308" s="1465"/>
      <c r="AE308" s="1465"/>
      <c r="AF308" s="1465"/>
      <c r="AG308" s="4"/>
      <c r="AH308" s="4"/>
      <c r="AI308" s="35"/>
      <c r="AJ308" s="35"/>
      <c r="AK308" s="35"/>
      <c r="BN308" s="34"/>
    </row>
    <row r="309" spans="2:66" ht="12.95" customHeight="1">
      <c r="B309" s="3" t="s">
        <v>76</v>
      </c>
      <c r="C309" s="3"/>
      <c r="D309" s="3"/>
      <c r="E309" s="3"/>
      <c r="F309" s="3"/>
      <c r="G309" s="3"/>
      <c r="H309" s="1407"/>
      <c r="I309" s="1407"/>
      <c r="J309" s="1407"/>
      <c r="K309" s="1407"/>
      <c r="L309" s="1407"/>
      <c r="M309" s="1407"/>
      <c r="N309" s="1406"/>
      <c r="O309" s="1406"/>
      <c r="P309" s="1406"/>
      <c r="Q309" s="1406"/>
      <c r="R309" s="1406"/>
      <c r="S309" s="3"/>
      <c r="T309" s="3" t="s">
        <v>76</v>
      </c>
      <c r="V309" s="3"/>
      <c r="W309" s="3"/>
      <c r="X309" s="3"/>
      <c r="Y309" s="3"/>
      <c r="AA309" s="1407"/>
      <c r="AB309" s="1407"/>
      <c r="AC309" s="1407"/>
      <c r="AD309" s="1407"/>
      <c r="AE309" s="1407"/>
      <c r="AF309" s="1407"/>
      <c r="AG309" s="1406"/>
      <c r="AH309" s="1406"/>
      <c r="AI309" s="1406"/>
      <c r="AJ309" s="1406"/>
      <c r="AK309" s="140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06" t="s">
        <v>2680</v>
      </c>
      <c r="I311" s="1406"/>
      <c r="J311" s="1406"/>
      <c r="K311" s="1406"/>
      <c r="L311" s="1406"/>
      <c r="M311" s="1406"/>
      <c r="N311" s="1406"/>
      <c r="O311" s="1406"/>
      <c r="P311" s="1406"/>
      <c r="Q311" s="1406"/>
      <c r="R311" s="1406"/>
      <c r="S311" s="3"/>
      <c r="T311" s="3" t="s">
        <v>366</v>
      </c>
      <c r="V311" s="3"/>
      <c r="W311" s="3"/>
      <c r="X311" s="3"/>
      <c r="Y311" s="3"/>
      <c r="AA311" s="1406" t="s">
        <v>2685</v>
      </c>
      <c r="AB311" s="1406"/>
      <c r="AC311" s="1406"/>
      <c r="AD311" s="1406"/>
      <c r="AE311" s="1406"/>
      <c r="AF311" s="1406"/>
      <c r="AG311" s="1406"/>
      <c r="AH311" s="1406"/>
      <c r="AI311" s="1406"/>
      <c r="AJ311" s="1406"/>
      <c r="AK311" s="1406"/>
      <c r="BN311" s="34"/>
    </row>
    <row r="312" spans="2:66" ht="12.95" customHeight="1">
      <c r="B312" s="3" t="s">
        <v>480</v>
      </c>
      <c r="C312" s="3"/>
      <c r="D312" s="3"/>
      <c r="E312" s="3"/>
      <c r="F312" s="3"/>
      <c r="H312" s="1407"/>
      <c r="I312" s="1407"/>
      <c r="J312" s="1407"/>
      <c r="K312" s="1407"/>
      <c r="L312" s="1407"/>
      <c r="M312" s="1407"/>
      <c r="N312" s="1407"/>
      <c r="O312" s="1407"/>
      <c r="P312" s="1407"/>
      <c r="Q312" s="1407"/>
      <c r="R312" s="1407"/>
      <c r="S312" s="3"/>
      <c r="T312" s="3" t="s">
        <v>480</v>
      </c>
      <c r="V312" s="3"/>
      <c r="W312" s="3"/>
      <c r="X312" s="3"/>
      <c r="Y312" s="3"/>
      <c r="AA312" s="1407" t="s">
        <v>2686</v>
      </c>
      <c r="AB312" s="1407"/>
      <c r="AC312" s="1407"/>
      <c r="AD312" s="1407"/>
      <c r="AE312" s="1407"/>
      <c r="AF312" s="1407"/>
      <c r="AG312" s="1407"/>
      <c r="AH312" s="1407"/>
      <c r="AI312" s="1407"/>
      <c r="AJ312" s="1407"/>
      <c r="AK312" s="1407"/>
      <c r="BN312" s="34"/>
    </row>
    <row r="313" spans="2:66" ht="12.95" customHeight="1">
      <c r="B313" s="3" t="s">
        <v>481</v>
      </c>
      <c r="C313" s="3"/>
      <c r="D313" s="3"/>
      <c r="E313" s="3"/>
      <c r="F313" s="3"/>
      <c r="H313" s="1407" t="s">
        <v>2681</v>
      </c>
      <c r="I313" s="1407"/>
      <c r="J313" s="1407"/>
      <c r="K313" s="1407"/>
      <c r="L313" s="1407"/>
      <c r="M313" s="1407"/>
      <c r="N313" s="1407"/>
      <c r="O313" s="1407"/>
      <c r="P313" s="1407"/>
      <c r="Q313" s="1407"/>
      <c r="R313" s="1407"/>
      <c r="S313" s="3"/>
      <c r="T313" s="3" t="s">
        <v>75</v>
      </c>
      <c r="V313" s="3"/>
      <c r="W313" s="3"/>
      <c r="X313" s="3"/>
      <c r="Y313" s="3"/>
      <c r="AA313" s="1407" t="s">
        <v>2676</v>
      </c>
      <c r="AB313" s="1407"/>
      <c r="AC313" s="1407"/>
      <c r="AD313" s="1407"/>
      <c r="AE313" s="1407"/>
      <c r="AF313" s="1407"/>
      <c r="AG313" s="1407"/>
      <c r="AH313" s="1407"/>
      <c r="AI313" s="1407"/>
      <c r="AJ313" s="1407"/>
      <c r="AK313" s="1407"/>
      <c r="BN313" s="34"/>
    </row>
    <row r="314" spans="2:66" ht="12.95" customHeight="1">
      <c r="B314" s="3" t="s">
        <v>87</v>
      </c>
      <c r="C314" s="3"/>
      <c r="D314" s="3"/>
      <c r="E314" s="3"/>
      <c r="F314" s="3"/>
      <c r="H314" s="1407" t="s">
        <v>2682</v>
      </c>
      <c r="I314" s="1407"/>
      <c r="J314" s="1407"/>
      <c r="K314" s="1407"/>
      <c r="L314" s="1407"/>
      <c r="M314" s="1407"/>
      <c r="N314" s="1407"/>
      <c r="O314" s="1407"/>
      <c r="P314" s="1407"/>
      <c r="Q314" s="1407"/>
      <c r="R314" s="1407"/>
      <c r="S314" s="3"/>
      <c r="T314" s="3" t="s">
        <v>87</v>
      </c>
      <c r="V314" s="3"/>
      <c r="W314" s="3"/>
      <c r="X314" s="3"/>
      <c r="Y314" s="3"/>
      <c r="AA314" s="1407" t="s">
        <v>2687</v>
      </c>
      <c r="AB314" s="1407"/>
      <c r="AC314" s="1407"/>
      <c r="AD314" s="1407"/>
      <c r="AE314" s="1407"/>
      <c r="AF314" s="1407"/>
      <c r="AG314" s="1407"/>
      <c r="AH314" s="1407"/>
      <c r="AI314" s="1407"/>
      <c r="AJ314" s="1407"/>
      <c r="AK314" s="1407"/>
      <c r="BN314" s="34"/>
    </row>
    <row r="315" spans="2:66" ht="12.95" customHeight="1">
      <c r="B315" s="3" t="s">
        <v>88</v>
      </c>
      <c r="C315" s="3"/>
      <c r="D315" s="3"/>
      <c r="E315" s="3"/>
      <c r="F315" s="3"/>
      <c r="G315" s="3"/>
      <c r="H315" s="1468" t="s">
        <v>2683</v>
      </c>
      <c r="I315" s="1468"/>
      <c r="J315" s="1468"/>
      <c r="K315" s="1468"/>
      <c r="L315" s="1468"/>
      <c r="M315" s="1468"/>
      <c r="N315" s="4" t="s">
        <v>207</v>
      </c>
      <c r="O315" s="4"/>
      <c r="P315" s="1448"/>
      <c r="Q315" s="1448"/>
      <c r="R315" s="1448"/>
      <c r="S315" s="3"/>
      <c r="T315" s="3" t="s">
        <v>88</v>
      </c>
      <c r="V315" s="3"/>
      <c r="W315" s="3"/>
      <c r="X315" s="3"/>
      <c r="Y315" s="3"/>
      <c r="AA315" s="1468" t="s">
        <v>2688</v>
      </c>
      <c r="AB315" s="1468"/>
      <c r="AC315" s="1468"/>
      <c r="AD315" s="1468"/>
      <c r="AE315" s="1468"/>
      <c r="AF315" s="1468"/>
      <c r="AG315" s="4" t="s">
        <v>207</v>
      </c>
      <c r="AH315" s="4"/>
      <c r="AI315" s="1448"/>
      <c r="AJ315" s="1448"/>
      <c r="AK315" s="1448"/>
      <c r="BN315" s="34"/>
    </row>
    <row r="316" spans="2:66" ht="12.95" customHeight="1">
      <c r="B316" s="3" t="s">
        <v>89</v>
      </c>
      <c r="C316" s="3"/>
      <c r="D316" s="3"/>
      <c r="E316" s="3"/>
      <c r="F316" s="3"/>
      <c r="G316" s="3"/>
      <c r="H316" s="1465"/>
      <c r="I316" s="1465"/>
      <c r="J316" s="1465"/>
      <c r="K316" s="1465"/>
      <c r="L316" s="1465"/>
      <c r="M316" s="1465"/>
      <c r="N316" s="4"/>
      <c r="O316" s="4"/>
      <c r="P316" s="35"/>
      <c r="Q316" s="35"/>
      <c r="R316" s="35"/>
      <c r="S316" s="3"/>
      <c r="T316" s="3" t="s">
        <v>89</v>
      </c>
      <c r="V316" s="3"/>
      <c r="W316" s="3"/>
      <c r="X316" s="3"/>
      <c r="Y316" s="3"/>
      <c r="AA316" s="1465"/>
      <c r="AB316" s="1465"/>
      <c r="AC316" s="1465"/>
      <c r="AD316" s="1465"/>
      <c r="AE316" s="1465"/>
      <c r="AF316" s="1465"/>
      <c r="AG316" s="4"/>
      <c r="AH316" s="4"/>
      <c r="AI316" s="35"/>
      <c r="AJ316" s="35"/>
      <c r="AK316" s="35"/>
      <c r="BN316" s="34"/>
    </row>
    <row r="317" spans="2:66" ht="12.95" customHeight="1">
      <c r="B317" s="3" t="s">
        <v>76</v>
      </c>
      <c r="C317" s="3"/>
      <c r="D317" s="3"/>
      <c r="E317" s="3"/>
      <c r="F317" s="3"/>
      <c r="G317" s="3"/>
      <c r="H317" s="1407" t="s">
        <v>2684</v>
      </c>
      <c r="I317" s="1407"/>
      <c r="J317" s="1407"/>
      <c r="K317" s="1407"/>
      <c r="L317" s="1407"/>
      <c r="M317" s="1407"/>
      <c r="N317" s="1406"/>
      <c r="O317" s="1406"/>
      <c r="P317" s="1406"/>
      <c r="Q317" s="1406"/>
      <c r="R317" s="1406"/>
      <c r="S317" s="3"/>
      <c r="T317" s="3" t="s">
        <v>76</v>
      </c>
      <c r="V317" s="3"/>
      <c r="W317" s="3"/>
      <c r="X317" s="3"/>
      <c r="Y317" s="3"/>
      <c r="AA317" s="1407" t="s">
        <v>2689</v>
      </c>
      <c r="AB317" s="1407"/>
      <c r="AC317" s="1407"/>
      <c r="AD317" s="1407"/>
      <c r="AE317" s="1407"/>
      <c r="AF317" s="1407"/>
      <c r="AG317" s="1406"/>
      <c r="AH317" s="1406"/>
      <c r="AI317" s="1406"/>
      <c r="AJ317" s="1406"/>
      <c r="AK317" s="1406"/>
      <c r="BN317" s="34"/>
    </row>
    <row r="318" spans="2:66" ht="12.95" customHeight="1">
      <c r="BN318" s="34"/>
    </row>
    <row r="319" spans="2:66" ht="12.95" customHeight="1">
      <c r="B319" s="4" t="s">
        <v>924</v>
      </c>
      <c r="C319" s="3"/>
      <c r="D319" s="3"/>
      <c r="E319" s="3"/>
      <c r="F319" s="3"/>
      <c r="H319" s="1406"/>
      <c r="I319" s="1406"/>
      <c r="J319" s="1406"/>
      <c r="K319" s="1406"/>
      <c r="L319" s="1406"/>
      <c r="M319" s="1406"/>
      <c r="N319" s="1406"/>
      <c r="O319" s="1406"/>
      <c r="P319" s="1406"/>
      <c r="Q319" s="1406"/>
      <c r="R319" s="1406"/>
      <c r="T319" s="3" t="s">
        <v>367</v>
      </c>
      <c r="V319" s="3"/>
      <c r="W319" s="3"/>
      <c r="X319" s="3"/>
      <c r="Y319" s="3"/>
      <c r="AA319" s="1406" t="s">
        <v>2690</v>
      </c>
      <c r="AB319" s="1406"/>
      <c r="AC319" s="1406"/>
      <c r="AD319" s="1406"/>
      <c r="AE319" s="1406"/>
      <c r="AF319" s="1406"/>
      <c r="AG319" s="1406"/>
      <c r="AH319" s="1406"/>
      <c r="AI319" s="1406"/>
      <c r="AJ319" s="1406"/>
      <c r="AK319" s="1406"/>
      <c r="BN319" s="34"/>
    </row>
    <row r="320" spans="2:66" ht="12.95" customHeight="1">
      <c r="B320" s="3" t="s">
        <v>480</v>
      </c>
      <c r="C320" s="3"/>
      <c r="D320" s="3"/>
      <c r="E320" s="3"/>
      <c r="F320" s="3"/>
      <c r="H320" s="1407"/>
      <c r="I320" s="1407"/>
      <c r="J320" s="1407"/>
      <c r="K320" s="1407"/>
      <c r="L320" s="1407"/>
      <c r="M320" s="1407"/>
      <c r="N320" s="1407"/>
      <c r="O320" s="1407"/>
      <c r="P320" s="1407"/>
      <c r="Q320" s="1407"/>
      <c r="R320" s="1407"/>
      <c r="T320" s="3" t="s">
        <v>480</v>
      </c>
      <c r="V320" s="3"/>
      <c r="W320" s="3"/>
      <c r="X320" s="3"/>
      <c r="Y320" s="3"/>
      <c r="AA320" s="1407" t="s">
        <v>2691</v>
      </c>
      <c r="AB320" s="1407"/>
      <c r="AC320" s="1407"/>
      <c r="AD320" s="1407"/>
      <c r="AE320" s="1407"/>
      <c r="AF320" s="1407"/>
      <c r="AG320" s="1407"/>
      <c r="AH320" s="1407"/>
      <c r="AI320" s="1407"/>
      <c r="AJ320" s="1407"/>
      <c r="AK320" s="1407"/>
      <c r="BN320" s="34"/>
    </row>
    <row r="321" spans="2:66" ht="12.95" customHeight="1">
      <c r="B321" s="3" t="s">
        <v>481</v>
      </c>
      <c r="C321" s="3"/>
      <c r="D321" s="3"/>
      <c r="E321" s="3"/>
      <c r="F321" s="3"/>
      <c r="H321" s="1407"/>
      <c r="I321" s="1407"/>
      <c r="J321" s="1407"/>
      <c r="K321" s="1407"/>
      <c r="L321" s="1407"/>
      <c r="M321" s="1407"/>
      <c r="N321" s="1407"/>
      <c r="O321" s="1407"/>
      <c r="P321" s="1407"/>
      <c r="Q321" s="1407"/>
      <c r="R321" s="1407"/>
      <c r="T321" s="3" t="s">
        <v>75</v>
      </c>
      <c r="V321" s="3"/>
      <c r="W321" s="3"/>
      <c r="X321" s="3"/>
      <c r="Y321" s="3"/>
      <c r="AA321" s="1407" t="s">
        <v>2692</v>
      </c>
      <c r="AB321" s="1407"/>
      <c r="AC321" s="1407"/>
      <c r="AD321" s="1407"/>
      <c r="AE321" s="1407"/>
      <c r="AF321" s="1407"/>
      <c r="AG321" s="1407"/>
      <c r="AH321" s="1407"/>
      <c r="AI321" s="1407"/>
      <c r="AJ321" s="1407"/>
      <c r="AK321" s="1407"/>
      <c r="BN321" s="34"/>
    </row>
    <row r="322" spans="2:66" ht="12.95" customHeight="1">
      <c r="B322" s="3" t="s">
        <v>87</v>
      </c>
      <c r="C322" s="3"/>
      <c r="D322" s="3"/>
      <c r="E322" s="3"/>
      <c r="F322" s="3"/>
      <c r="H322" s="1407"/>
      <c r="I322" s="1407"/>
      <c r="J322" s="1407"/>
      <c r="K322" s="1407"/>
      <c r="L322" s="1407"/>
      <c r="M322" s="1407"/>
      <c r="N322" s="1407"/>
      <c r="O322" s="1407"/>
      <c r="P322" s="1407"/>
      <c r="Q322" s="1407"/>
      <c r="R322" s="1407"/>
      <c r="T322" s="3" t="s">
        <v>87</v>
      </c>
      <c r="V322" s="3"/>
      <c r="W322" s="3"/>
      <c r="X322" s="3"/>
      <c r="Y322" s="3"/>
      <c r="AA322" s="1407" t="s">
        <v>2693</v>
      </c>
      <c r="AB322" s="1407"/>
      <c r="AC322" s="1407"/>
      <c r="AD322" s="1407"/>
      <c r="AE322" s="1407"/>
      <c r="AF322" s="1407"/>
      <c r="AG322" s="1407"/>
      <c r="AH322" s="1407"/>
      <c r="AI322" s="1407"/>
      <c r="AJ322" s="1407"/>
      <c r="AK322" s="1407"/>
      <c r="BN322" s="34"/>
    </row>
    <row r="323" spans="2:66" ht="12.95" customHeight="1">
      <c r="B323" s="3" t="s">
        <v>88</v>
      </c>
      <c r="C323" s="3"/>
      <c r="D323" s="3"/>
      <c r="E323" s="3"/>
      <c r="F323" s="3"/>
      <c r="G323" s="3"/>
      <c r="H323" s="1468"/>
      <c r="I323" s="1468"/>
      <c r="J323" s="1468"/>
      <c r="K323" s="1468"/>
      <c r="L323" s="1468"/>
      <c r="M323" s="1468"/>
      <c r="N323" s="4" t="s">
        <v>207</v>
      </c>
      <c r="O323" s="4"/>
      <c r="P323" s="1448"/>
      <c r="Q323" s="1448"/>
      <c r="R323" s="1448"/>
      <c r="S323" s="3"/>
      <c r="T323" s="3" t="s">
        <v>88</v>
      </c>
      <c r="V323" s="3"/>
      <c r="W323" s="3"/>
      <c r="X323" s="3"/>
      <c r="Y323" s="3"/>
      <c r="AA323" s="1468"/>
      <c r="AB323" s="1468"/>
      <c r="AC323" s="1468"/>
      <c r="AD323" s="1468"/>
      <c r="AE323" s="1468"/>
      <c r="AF323" s="1468"/>
      <c r="AG323" s="4" t="s">
        <v>207</v>
      </c>
      <c r="AH323" s="4"/>
      <c r="AI323" s="1448"/>
      <c r="AJ323" s="1448"/>
      <c r="AK323" s="1448"/>
    </row>
    <row r="324" spans="2:66" ht="12.95" customHeight="1">
      <c r="B324" s="3" t="s">
        <v>89</v>
      </c>
      <c r="C324" s="3"/>
      <c r="D324" s="3"/>
      <c r="E324" s="3"/>
      <c r="F324" s="3"/>
      <c r="G324" s="3"/>
      <c r="H324" s="1465"/>
      <c r="I324" s="1465"/>
      <c r="J324" s="1465"/>
      <c r="K324" s="1465"/>
      <c r="L324" s="1465"/>
      <c r="M324" s="1465"/>
      <c r="N324" s="4"/>
      <c r="O324" s="4"/>
      <c r="P324" s="35"/>
      <c r="Q324" s="35"/>
      <c r="R324" s="35"/>
      <c r="S324" s="3"/>
      <c r="T324" s="3" t="s">
        <v>89</v>
      </c>
      <c r="V324" s="3"/>
      <c r="W324" s="3"/>
      <c r="X324" s="3"/>
      <c r="Y324" s="3"/>
      <c r="AA324" s="1465"/>
      <c r="AB324" s="1465"/>
      <c r="AC324" s="1465"/>
      <c r="AD324" s="1465"/>
      <c r="AE324" s="1465"/>
      <c r="AF324" s="1465"/>
      <c r="AG324" s="4"/>
      <c r="AH324" s="4"/>
      <c r="AI324" s="35"/>
      <c r="AJ324" s="35"/>
      <c r="AK324" s="35"/>
    </row>
    <row r="325" spans="2:66" ht="12.95" customHeight="1">
      <c r="B325" s="3" t="s">
        <v>76</v>
      </c>
      <c r="C325" s="3"/>
      <c r="D325" s="3"/>
      <c r="E325" s="3"/>
      <c r="F325" s="3"/>
      <c r="G325" s="3"/>
      <c r="H325" s="1407"/>
      <c r="I325" s="1407"/>
      <c r="J325" s="1407"/>
      <c r="K325" s="1407"/>
      <c r="L325" s="1407"/>
      <c r="M325" s="1407"/>
      <c r="N325" s="1406"/>
      <c r="O325" s="1406"/>
      <c r="P325" s="1406"/>
      <c r="Q325" s="1406"/>
      <c r="R325" s="1406"/>
      <c r="S325" s="3"/>
      <c r="T325" s="3" t="s">
        <v>76</v>
      </c>
      <c r="V325" s="3"/>
      <c r="W325" s="3"/>
      <c r="X325" s="3"/>
      <c r="Y325" s="3"/>
      <c r="AA325" s="1407" t="s">
        <v>2695</v>
      </c>
      <c r="AB325" s="1407"/>
      <c r="AC325" s="1407"/>
      <c r="AD325" s="1407"/>
      <c r="AE325" s="1407"/>
      <c r="AF325" s="1407"/>
      <c r="AG325" s="1406"/>
      <c r="AH325" s="1406"/>
      <c r="AI325" s="1406"/>
      <c r="AJ325" s="1406"/>
      <c r="AK325" s="140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06" t="s">
        <v>2690</v>
      </c>
      <c r="I327" s="1406"/>
      <c r="J327" s="1406"/>
      <c r="K327" s="1406"/>
      <c r="L327" s="1406"/>
      <c r="M327" s="1406"/>
      <c r="N327" s="1406"/>
      <c r="O327" s="1406"/>
      <c r="P327" s="1406"/>
      <c r="Q327" s="1406"/>
      <c r="R327" s="1406"/>
      <c r="T327" s="3" t="s">
        <v>369</v>
      </c>
      <c r="V327" s="3"/>
      <c r="W327" s="3"/>
      <c r="X327" s="3"/>
      <c r="Y327" s="3"/>
      <c r="AA327" s="1406"/>
      <c r="AB327" s="1406"/>
      <c r="AC327" s="1406"/>
      <c r="AD327" s="1406"/>
      <c r="AE327" s="1406"/>
      <c r="AF327" s="1406"/>
      <c r="AG327" s="1406"/>
      <c r="AH327" s="1406"/>
      <c r="AI327" s="1406"/>
      <c r="AJ327" s="1406"/>
      <c r="AK327" s="1406"/>
    </row>
    <row r="328" spans="2:66" ht="12.95" customHeight="1">
      <c r="B328" s="3" t="s">
        <v>480</v>
      </c>
      <c r="C328" s="3"/>
      <c r="D328" s="3"/>
      <c r="E328" s="3"/>
      <c r="F328" s="3"/>
      <c r="H328" s="1407" t="s">
        <v>2691</v>
      </c>
      <c r="I328" s="1407"/>
      <c r="J328" s="1407"/>
      <c r="K328" s="1407"/>
      <c r="L328" s="1407"/>
      <c r="M328" s="1407"/>
      <c r="N328" s="1407"/>
      <c r="O328" s="1407"/>
      <c r="P328" s="1407"/>
      <c r="Q328" s="1407"/>
      <c r="R328" s="1407"/>
      <c r="T328" s="3" t="s">
        <v>480</v>
      </c>
      <c r="V328" s="3"/>
      <c r="W328" s="3"/>
      <c r="X328" s="3"/>
      <c r="Y328" s="3"/>
      <c r="AA328" s="1407"/>
      <c r="AB328" s="1407"/>
      <c r="AC328" s="1407"/>
      <c r="AD328" s="1407"/>
      <c r="AE328" s="1407"/>
      <c r="AF328" s="1407"/>
      <c r="AG328" s="1407"/>
      <c r="AH328" s="1407"/>
      <c r="AI328" s="1407"/>
      <c r="AJ328" s="1407"/>
      <c r="AK328" s="1407"/>
    </row>
    <row r="329" spans="2:66" ht="12.95" customHeight="1">
      <c r="B329" s="3" t="s">
        <v>481</v>
      </c>
      <c r="C329" s="3"/>
      <c r="D329" s="3"/>
      <c r="E329" s="3"/>
      <c r="F329" s="3"/>
      <c r="H329" s="1407" t="s">
        <v>2692</v>
      </c>
      <c r="I329" s="1407"/>
      <c r="J329" s="1407"/>
      <c r="K329" s="1407"/>
      <c r="L329" s="1407"/>
      <c r="M329" s="1407"/>
      <c r="N329" s="1407"/>
      <c r="O329" s="1407"/>
      <c r="P329" s="1407"/>
      <c r="Q329" s="1407"/>
      <c r="R329" s="1407"/>
      <c r="T329" s="3" t="s">
        <v>75</v>
      </c>
      <c r="V329" s="3"/>
      <c r="W329" s="3"/>
      <c r="X329" s="3"/>
      <c r="Y329" s="3"/>
      <c r="AA329" s="1407"/>
      <c r="AB329" s="1407"/>
      <c r="AC329" s="1407"/>
      <c r="AD329" s="1407"/>
      <c r="AE329" s="1407"/>
      <c r="AF329" s="1407"/>
      <c r="AG329" s="1407"/>
      <c r="AH329" s="1407"/>
      <c r="AI329" s="1407"/>
      <c r="AJ329" s="1407"/>
      <c r="AK329" s="1407"/>
    </row>
    <row r="330" spans="2:66" ht="12.95" customHeight="1">
      <c r="B330" s="3" t="s">
        <v>87</v>
      </c>
      <c r="C330" s="3"/>
      <c r="D330" s="3"/>
      <c r="E330" s="3"/>
      <c r="F330" s="3"/>
      <c r="H330" s="1407" t="s">
        <v>2693</v>
      </c>
      <c r="I330" s="1407"/>
      <c r="J330" s="1407"/>
      <c r="K330" s="1407"/>
      <c r="L330" s="1407"/>
      <c r="M330" s="1407"/>
      <c r="N330" s="1407"/>
      <c r="O330" s="1407"/>
      <c r="P330" s="1407"/>
      <c r="Q330" s="1407"/>
      <c r="R330" s="1407"/>
      <c r="T330" s="3" t="s">
        <v>87</v>
      </c>
      <c r="V330" s="3"/>
      <c r="W330" s="3"/>
      <c r="X330" s="3"/>
      <c r="Y330" s="3"/>
      <c r="AA330" s="1407"/>
      <c r="AB330" s="1407"/>
      <c r="AC330" s="1407"/>
      <c r="AD330" s="1407"/>
      <c r="AE330" s="1407"/>
      <c r="AF330" s="1407"/>
      <c r="AG330" s="1407"/>
      <c r="AH330" s="1407"/>
      <c r="AI330" s="1407"/>
      <c r="AJ330" s="1407"/>
      <c r="AK330" s="1407"/>
    </row>
    <row r="331" spans="2:66" ht="12.95" customHeight="1">
      <c r="B331" s="3" t="s">
        <v>88</v>
      </c>
      <c r="C331" s="3"/>
      <c r="D331" s="3"/>
      <c r="E331" s="3"/>
      <c r="F331" s="3"/>
      <c r="G331" s="3"/>
      <c r="H331" s="1468" t="s">
        <v>2694</v>
      </c>
      <c r="I331" s="1468"/>
      <c r="J331" s="1468"/>
      <c r="K331" s="1468"/>
      <c r="L331" s="1468"/>
      <c r="M331" s="1468"/>
      <c r="N331" s="4" t="s">
        <v>207</v>
      </c>
      <c r="O331" s="4"/>
      <c r="P331" s="1448"/>
      <c r="Q331" s="1448"/>
      <c r="R331" s="1448"/>
      <c r="S331" s="3"/>
      <c r="T331" s="3" t="s">
        <v>88</v>
      </c>
      <c r="V331" s="3"/>
      <c r="W331" s="3"/>
      <c r="X331" s="3"/>
      <c r="Y331" s="3"/>
      <c r="AA331" s="1468"/>
      <c r="AB331" s="1468"/>
      <c r="AC331" s="1468"/>
      <c r="AD331" s="1468"/>
      <c r="AE331" s="1468"/>
      <c r="AF331" s="1468"/>
      <c r="AG331" s="4" t="s">
        <v>207</v>
      </c>
      <c r="AH331" s="4"/>
      <c r="AI331" s="1448"/>
      <c r="AJ331" s="1448"/>
      <c r="AK331" s="1448"/>
    </row>
    <row r="332" spans="2:66" ht="12.95" customHeight="1">
      <c r="B332" s="3" t="s">
        <v>89</v>
      </c>
      <c r="C332" s="3"/>
      <c r="D332" s="3"/>
      <c r="E332" s="3"/>
      <c r="F332" s="3"/>
      <c r="G332" s="3"/>
      <c r="H332" s="1465"/>
      <c r="I332" s="1465"/>
      <c r="J332" s="1465"/>
      <c r="K332" s="1465"/>
      <c r="L332" s="1465"/>
      <c r="M332" s="1465"/>
      <c r="N332" s="4"/>
      <c r="O332" s="4"/>
      <c r="P332" s="35"/>
      <c r="Q332" s="35"/>
      <c r="R332" s="35"/>
      <c r="S332" s="3"/>
      <c r="T332" s="3" t="s">
        <v>89</v>
      </c>
      <c r="V332" s="3"/>
      <c r="W332" s="3"/>
      <c r="X332" s="3"/>
      <c r="Y332" s="3"/>
      <c r="AA332" s="1465"/>
      <c r="AB332" s="1465"/>
      <c r="AC332" s="1465"/>
      <c r="AD332" s="1465"/>
      <c r="AE332" s="1465"/>
      <c r="AF332" s="1465"/>
      <c r="AG332" s="4"/>
      <c r="AH332" s="4"/>
      <c r="AI332" s="35"/>
      <c r="AJ332" s="35"/>
      <c r="AK332" s="35"/>
    </row>
    <row r="333" spans="2:66" ht="12.95" customHeight="1">
      <c r="B333" s="3" t="s">
        <v>76</v>
      </c>
      <c r="C333" s="3"/>
      <c r="D333" s="3"/>
      <c r="E333" s="3"/>
      <c r="F333" s="3"/>
      <c r="G333" s="3"/>
      <c r="H333" s="1407" t="s">
        <v>2695</v>
      </c>
      <c r="I333" s="1407"/>
      <c r="J333" s="1407"/>
      <c r="K333" s="1407"/>
      <c r="L333" s="1407"/>
      <c r="M333" s="1407"/>
      <c r="N333" s="1406"/>
      <c r="O333" s="1406"/>
      <c r="P333" s="1406"/>
      <c r="Q333" s="1406"/>
      <c r="R333" s="1406"/>
      <c r="S333" s="3"/>
      <c r="T333" s="3" t="s">
        <v>76</v>
      </c>
      <c r="V333" s="3"/>
      <c r="W333" s="3"/>
      <c r="X333" s="3"/>
      <c r="Y333" s="3"/>
      <c r="AA333" s="1407"/>
      <c r="AB333" s="1407"/>
      <c r="AC333" s="1407"/>
      <c r="AD333" s="1407"/>
      <c r="AE333" s="1407"/>
      <c r="AF333" s="1407"/>
      <c r="AG333" s="1406"/>
      <c r="AH333" s="1406"/>
      <c r="AI333" s="1406"/>
      <c r="AJ333" s="1406"/>
      <c r="AK333" s="140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56" t="s">
        <v>2791</v>
      </c>
      <c r="I335" s="1356"/>
      <c r="J335" s="1356"/>
      <c r="K335" s="1356"/>
      <c r="L335" s="1356"/>
      <c r="M335" s="1356"/>
      <c r="N335" s="1356"/>
      <c r="O335" s="1356"/>
      <c r="P335" s="1356"/>
      <c r="Q335" s="1356"/>
      <c r="R335" s="1356"/>
      <c r="T335" s="218" t="s">
        <v>900</v>
      </c>
      <c r="V335" s="3"/>
      <c r="W335" s="3"/>
      <c r="X335" s="3"/>
      <c r="Y335" s="3"/>
      <c r="AA335" s="1406" t="s">
        <v>2696</v>
      </c>
      <c r="AB335" s="1406"/>
      <c r="AC335" s="1406"/>
      <c r="AD335" s="1406"/>
      <c r="AE335" s="1406"/>
      <c r="AF335" s="1406"/>
      <c r="AG335" s="1406"/>
      <c r="AH335" s="1406"/>
      <c r="AI335" s="1406"/>
      <c r="AJ335" s="1406"/>
      <c r="AK335" s="1406"/>
    </row>
    <row r="336" spans="2:66" ht="12.95" customHeight="1">
      <c r="B336" s="3" t="s">
        <v>480</v>
      </c>
      <c r="C336" s="3"/>
      <c r="D336" s="3"/>
      <c r="E336" s="3"/>
      <c r="F336" s="3"/>
      <c r="H336" s="1355" t="s">
        <v>2792</v>
      </c>
      <c r="I336" s="1355"/>
      <c r="J336" s="1355"/>
      <c r="K336" s="1355"/>
      <c r="L336" s="1355"/>
      <c r="M336" s="1355"/>
      <c r="N336" s="1355"/>
      <c r="O336" s="1355"/>
      <c r="P336" s="1355"/>
      <c r="Q336" s="1355"/>
      <c r="R336" s="1355"/>
      <c r="T336" s="3" t="s">
        <v>480</v>
      </c>
      <c r="V336" s="3"/>
      <c r="W336" s="3"/>
      <c r="X336" s="3"/>
      <c r="Y336" s="3"/>
      <c r="AA336" s="1407" t="s">
        <v>2697</v>
      </c>
      <c r="AB336" s="1407"/>
      <c r="AC336" s="1407"/>
      <c r="AD336" s="1407"/>
      <c r="AE336" s="1407"/>
      <c r="AF336" s="1407"/>
      <c r="AG336" s="1407"/>
      <c r="AH336" s="1407"/>
      <c r="AI336" s="1407"/>
      <c r="AJ336" s="1407"/>
      <c r="AK336" s="1407"/>
    </row>
    <row r="337" spans="1:66" ht="12.95" customHeight="1">
      <c r="B337" s="3" t="s">
        <v>75</v>
      </c>
      <c r="C337" s="3"/>
      <c r="D337" s="3"/>
      <c r="E337" s="3"/>
      <c r="F337" s="3"/>
      <c r="H337" s="1355" t="s">
        <v>2793</v>
      </c>
      <c r="I337" s="1355"/>
      <c r="J337" s="1355"/>
      <c r="K337" s="1355"/>
      <c r="L337" s="1355"/>
      <c r="M337" s="1355"/>
      <c r="N337" s="1355"/>
      <c r="O337" s="1355"/>
      <c r="P337" s="1355"/>
      <c r="Q337" s="1355"/>
      <c r="R337" s="1355"/>
      <c r="T337" s="3" t="s">
        <v>75</v>
      </c>
      <c r="V337" s="3"/>
      <c r="W337" s="3"/>
      <c r="X337" s="3"/>
      <c r="Y337" s="3"/>
      <c r="AA337" s="1407" t="s">
        <v>2698</v>
      </c>
      <c r="AB337" s="1407"/>
      <c r="AC337" s="1407"/>
      <c r="AD337" s="1407"/>
      <c r="AE337" s="1407"/>
      <c r="AF337" s="1407"/>
      <c r="AG337" s="1407"/>
      <c r="AH337" s="1407"/>
      <c r="AI337" s="1407"/>
      <c r="AJ337" s="1407"/>
      <c r="AK337" s="1407"/>
    </row>
    <row r="338" spans="1:66" ht="12.95" customHeight="1">
      <c r="B338" s="3" t="s">
        <v>87</v>
      </c>
      <c r="C338" s="3"/>
      <c r="D338" s="3"/>
      <c r="E338" s="3"/>
      <c r="F338" s="3"/>
      <c r="G338" s="3"/>
      <c r="H338" s="1355" t="s">
        <v>2794</v>
      </c>
      <c r="I338" s="1355"/>
      <c r="J338" s="1355"/>
      <c r="K338" s="1355"/>
      <c r="L338" s="1355"/>
      <c r="M338" s="1355"/>
      <c r="N338" s="1355"/>
      <c r="O338" s="1355"/>
      <c r="P338" s="1355"/>
      <c r="Q338" s="1355"/>
      <c r="R338" s="1355"/>
      <c r="T338" s="3" t="s">
        <v>87</v>
      </c>
      <c r="V338" s="3"/>
      <c r="W338" s="3"/>
      <c r="X338" s="3"/>
      <c r="Y338" s="3"/>
      <c r="AA338" s="1407" t="s">
        <v>2699</v>
      </c>
      <c r="AB338" s="1407"/>
      <c r="AC338" s="1407"/>
      <c r="AD338" s="1407"/>
      <c r="AE338" s="1407"/>
      <c r="AF338" s="1407"/>
      <c r="AG338" s="1407"/>
      <c r="AH338" s="1407"/>
      <c r="AI338" s="1407"/>
      <c r="AJ338" s="1407"/>
      <c r="AK338" s="1407"/>
    </row>
    <row r="339" spans="1:66" ht="12.95" customHeight="1">
      <c r="B339" s="3" t="s">
        <v>88</v>
      </c>
      <c r="C339" s="3"/>
      <c r="D339" s="3"/>
      <c r="E339" s="3"/>
      <c r="F339" s="3"/>
      <c r="G339" s="3"/>
      <c r="H339" s="1828" t="s">
        <v>2795</v>
      </c>
      <c r="I339" s="1468"/>
      <c r="J339" s="1468"/>
      <c r="K339" s="1468"/>
      <c r="L339" s="1468"/>
      <c r="M339" s="1468"/>
      <c r="N339" s="4" t="s">
        <v>207</v>
      </c>
      <c r="O339" s="4"/>
      <c r="P339" s="1448"/>
      <c r="Q339" s="1448"/>
      <c r="R339" s="1448"/>
      <c r="S339" s="3"/>
      <c r="T339" s="3" t="s">
        <v>88</v>
      </c>
      <c r="V339" s="3"/>
      <c r="W339" s="3"/>
      <c r="X339" s="3"/>
      <c r="Y339" s="3"/>
      <c r="AA339" s="1468" t="s">
        <v>2700</v>
      </c>
      <c r="AB339" s="1468"/>
      <c r="AC339" s="1468"/>
      <c r="AD339" s="1468"/>
      <c r="AE339" s="1468"/>
      <c r="AF339" s="1468"/>
      <c r="AG339" s="4" t="s">
        <v>207</v>
      </c>
      <c r="AH339" s="4"/>
      <c r="AI339" s="1448">
        <v>38100</v>
      </c>
      <c r="AJ339" s="1448"/>
      <c r="AK339" s="1448"/>
    </row>
    <row r="340" spans="1:66" ht="12.95" customHeight="1">
      <c r="B340" s="3" t="s">
        <v>89</v>
      </c>
      <c r="C340" s="3"/>
      <c r="D340" s="3"/>
      <c r="E340" s="3"/>
      <c r="F340" s="3"/>
      <c r="G340" s="3"/>
      <c r="H340" s="1465"/>
      <c r="I340" s="1465"/>
      <c r="J340" s="1465"/>
      <c r="K340" s="1465"/>
      <c r="L340" s="1465"/>
      <c r="M340" s="1465"/>
      <c r="N340" s="4"/>
      <c r="O340" s="4"/>
      <c r="P340" s="35"/>
      <c r="Q340" s="35"/>
      <c r="R340" s="35"/>
      <c r="S340" s="3"/>
      <c r="T340" s="3" t="s">
        <v>89</v>
      </c>
      <c r="V340" s="3"/>
      <c r="W340" s="3"/>
      <c r="X340" s="3"/>
      <c r="Y340" s="3"/>
      <c r="AA340" s="1465"/>
      <c r="AB340" s="1465"/>
      <c r="AC340" s="1465"/>
      <c r="AD340" s="1465"/>
      <c r="AE340" s="1465"/>
      <c r="AF340" s="1465"/>
      <c r="AG340" s="4"/>
      <c r="AH340" s="4"/>
      <c r="AI340" s="35"/>
      <c r="AJ340" s="35"/>
      <c r="AK340" s="35"/>
    </row>
    <row r="341" spans="1:66" ht="12.95" customHeight="1">
      <c r="B341" s="3" t="s">
        <v>76</v>
      </c>
      <c r="C341" s="3"/>
      <c r="D341" s="3"/>
      <c r="E341" s="3"/>
      <c r="F341" s="3"/>
      <c r="G341" s="3"/>
      <c r="H341" s="1553" t="s">
        <v>2796</v>
      </c>
      <c r="I341" s="1407"/>
      <c r="J341" s="1407"/>
      <c r="K341" s="1407"/>
      <c r="L341" s="1407"/>
      <c r="M341" s="1407"/>
      <c r="N341" s="1406"/>
      <c r="O341" s="1406"/>
      <c r="P341" s="1406"/>
      <c r="Q341" s="1406"/>
      <c r="R341" s="1406"/>
      <c r="S341" s="3"/>
      <c r="T341" s="3" t="s">
        <v>76</v>
      </c>
      <c r="V341" s="3"/>
      <c r="W341" s="3"/>
      <c r="X341" s="3"/>
      <c r="Y341" s="3"/>
      <c r="AA341" s="1407" t="s">
        <v>2701</v>
      </c>
      <c r="AB341" s="1407"/>
      <c r="AC341" s="1407"/>
      <c r="AD341" s="1407"/>
      <c r="AE341" s="1407"/>
      <c r="AF341" s="1407"/>
      <c r="AG341" s="1406"/>
      <c r="AH341" s="1406"/>
      <c r="AI341" s="1406"/>
      <c r="AJ341" s="1406"/>
      <c r="AK341" s="140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06"/>
      <c r="Q343" s="1406"/>
      <c r="R343" s="1406"/>
      <c r="S343" s="1406"/>
      <c r="T343" s="1406"/>
      <c r="U343" s="1406"/>
      <c r="V343" s="1406"/>
      <c r="W343" s="1406"/>
      <c r="X343" s="1406"/>
      <c r="Y343" s="1406"/>
      <c r="Z343" s="1406"/>
      <c r="AA343" s="1406"/>
      <c r="AB343" s="1406"/>
      <c r="AC343" s="1406"/>
      <c r="AD343" s="1406"/>
      <c r="AE343" s="1406"/>
      <c r="BN343" t="s">
        <v>678</v>
      </c>
    </row>
    <row r="344" spans="1:66" ht="12.95" customHeight="1">
      <c r="B344" s="4"/>
      <c r="C344" s="4"/>
      <c r="D344" s="4"/>
      <c r="E344" s="4"/>
      <c r="F344" s="4"/>
      <c r="I344" s="4" t="s">
        <v>480</v>
      </c>
      <c r="P344" s="1407"/>
      <c r="Q344" s="1407"/>
      <c r="R344" s="1407"/>
      <c r="S344" s="1407"/>
      <c r="T344" s="1407"/>
      <c r="U344" s="1407"/>
      <c r="V344" s="1407"/>
      <c r="W344" s="1407"/>
      <c r="X344" s="1407"/>
      <c r="Y344" s="1407"/>
      <c r="Z344" s="1407"/>
      <c r="AA344" s="1407"/>
      <c r="AB344" s="1407"/>
      <c r="AC344" s="1407"/>
      <c r="AD344" s="1407"/>
      <c r="AE344" s="1407"/>
      <c r="BN344" t="s">
        <v>554</v>
      </c>
    </row>
    <row r="345" spans="1:66" ht="12.95" customHeight="1">
      <c r="B345" s="4"/>
      <c r="C345" s="4"/>
      <c r="D345" s="4"/>
      <c r="E345" s="4"/>
      <c r="F345" s="4"/>
      <c r="I345" s="4" t="s">
        <v>75</v>
      </c>
      <c r="P345" s="1407"/>
      <c r="Q345" s="1407"/>
      <c r="R345" s="1407"/>
      <c r="S345" s="1407"/>
      <c r="T345" s="1407"/>
      <c r="U345" s="1407"/>
      <c r="V345" s="1407"/>
      <c r="W345" s="1407"/>
      <c r="X345" s="1407"/>
      <c r="Y345" s="1407"/>
      <c r="Z345" s="1407"/>
      <c r="AA345" s="1407"/>
      <c r="AB345" s="1407"/>
      <c r="AC345" s="1407"/>
      <c r="AD345" s="1407"/>
      <c r="AE345" s="1407"/>
    </row>
    <row r="346" spans="1:66" ht="12.95" customHeight="1">
      <c r="B346" s="4"/>
      <c r="C346" s="4"/>
      <c r="D346" s="4"/>
      <c r="E346" s="4"/>
      <c r="F346" s="4"/>
      <c r="G346" s="4"/>
      <c r="I346" s="4" t="s">
        <v>87</v>
      </c>
      <c r="P346" s="1407"/>
      <c r="Q346" s="1407"/>
      <c r="R346" s="1407"/>
      <c r="S346" s="1407"/>
      <c r="T346" s="1407"/>
      <c r="U346" s="1407"/>
      <c r="V346" s="1407"/>
      <c r="W346" s="1407"/>
      <c r="X346" s="1407"/>
      <c r="Y346" s="1407"/>
      <c r="Z346" s="1407"/>
      <c r="AA346" s="1407"/>
      <c r="AB346" s="1407"/>
      <c r="AC346" s="1407"/>
      <c r="AD346" s="1407"/>
      <c r="AE346" s="1407"/>
    </row>
    <row r="347" spans="1:66" ht="12.95" customHeight="1">
      <c r="B347" s="4"/>
      <c r="C347" s="4"/>
      <c r="D347" s="4"/>
      <c r="E347" s="4"/>
      <c r="F347" s="4"/>
      <c r="G347" s="4"/>
      <c r="H347" s="324"/>
      <c r="I347" s="4" t="s">
        <v>88</v>
      </c>
      <c r="P347" s="1465"/>
      <c r="Q347" s="1465"/>
      <c r="R347" s="1465"/>
      <c r="S347" s="1465"/>
      <c r="T347" s="1465"/>
      <c r="U347" s="1465"/>
      <c r="V347" s="1465"/>
      <c r="W347" s="1465"/>
      <c r="X347" s="1465"/>
      <c r="Y347" s="1465"/>
      <c r="Z347" s="1465"/>
      <c r="AA347" s="4" t="s">
        <v>207</v>
      </c>
      <c r="AB347" s="4"/>
      <c r="AC347" s="1489"/>
      <c r="AD347" s="1489"/>
      <c r="AE347" s="1489"/>
      <c r="AF347" s="324"/>
      <c r="AG347" s="4"/>
      <c r="AH347" s="4"/>
      <c r="AI347" s="4"/>
      <c r="AJ347" s="4"/>
      <c r="AK347" s="4"/>
    </row>
    <row r="348" spans="1:66" ht="12.95" customHeight="1">
      <c r="B348" s="4"/>
      <c r="C348" s="4"/>
      <c r="D348" s="4"/>
      <c r="E348" s="4"/>
      <c r="F348" s="4"/>
      <c r="G348" s="4"/>
      <c r="H348" s="324"/>
      <c r="I348" s="4" t="s">
        <v>89</v>
      </c>
      <c r="P348" s="1465"/>
      <c r="Q348" s="1465"/>
      <c r="R348" s="1465"/>
      <c r="S348" s="1465"/>
      <c r="T348" s="1465"/>
      <c r="U348" s="1465"/>
      <c r="V348" s="1465"/>
      <c r="W348" s="1465"/>
      <c r="X348" s="1465"/>
      <c r="Y348" s="1465"/>
      <c r="Z348" s="1465"/>
      <c r="AF348" s="324"/>
      <c r="AG348" s="4"/>
      <c r="AH348" s="4"/>
      <c r="AI348" s="35"/>
      <c r="AJ348" s="35"/>
      <c r="AK348" s="35"/>
    </row>
    <row r="349" spans="1:66" ht="12.95"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5" customHeight="1">
      <c r="T350" s="8"/>
      <c r="U350" s="8"/>
      <c r="V350" s="8"/>
      <c r="W350" s="8"/>
      <c r="X350" s="8"/>
      <c r="Y350" s="8"/>
      <c r="Z350" s="8"/>
      <c r="AU350" s="95"/>
      <c r="AV350" s="95"/>
      <c r="AW350" s="95"/>
      <c r="AX350" s="95"/>
      <c r="AY350" s="95"/>
    </row>
    <row r="351" spans="1:66" ht="12.95" customHeight="1">
      <c r="A351" s="1466" t="s">
        <v>551</v>
      </c>
      <c r="B351" s="1466"/>
      <c r="C351" s="1466"/>
      <c r="D351" s="1466"/>
      <c r="E351" s="1466"/>
      <c r="F351" s="1466"/>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466"/>
      <c r="AM351" s="1466"/>
      <c r="AN351" s="1466"/>
      <c r="AO351" s="1466"/>
      <c r="AP351" s="1466"/>
      <c r="AQ351" s="1466"/>
      <c r="AR351" s="1466"/>
      <c r="AS351" s="1466"/>
      <c r="AT351" s="1466"/>
      <c r="AU351" s="95"/>
      <c r="AV351" s="95"/>
      <c r="AW351" s="95"/>
      <c r="AX351" s="95"/>
      <c r="AY351" s="95"/>
    </row>
    <row r="352" spans="1:66" ht="12.95" customHeight="1">
      <c r="A352" s="1466"/>
      <c r="B352" s="1466"/>
      <c r="C352" s="1466"/>
      <c r="D352" s="1466"/>
      <c r="E352" s="1466"/>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466"/>
      <c r="AM352" s="1466"/>
      <c r="AN352" s="1466"/>
      <c r="AO352" s="1466"/>
      <c r="AP352" s="1466"/>
      <c r="AQ352" s="1466"/>
      <c r="AR352" s="1466"/>
      <c r="AS352" s="1466"/>
      <c r="AT352" s="146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2413</v>
      </c>
      <c r="M355" s="1405" t="s">
        <v>554</v>
      </c>
      <c r="N355" s="1405"/>
      <c r="P355" t="s">
        <v>1764</v>
      </c>
      <c r="AJ355" s="1405" t="s">
        <v>554</v>
      </c>
      <c r="AK355" s="1405"/>
    </row>
    <row r="356" spans="1:46" ht="12.95" customHeight="1">
      <c r="D356" s="3" t="s">
        <v>1753</v>
      </c>
      <c r="M356" s="1405" t="s">
        <v>600</v>
      </c>
      <c r="N356" s="1405"/>
      <c r="P356" s="3" t="s">
        <v>1910</v>
      </c>
      <c r="AJ356" s="1453">
        <v>2</v>
      </c>
      <c r="AK356" s="1453"/>
    </row>
    <row r="357" spans="1:46" ht="12.95" customHeight="1">
      <c r="D357" s="3" t="s">
        <v>714</v>
      </c>
      <c r="M357" s="1405" t="s">
        <v>600</v>
      </c>
      <c r="N357" s="1405"/>
      <c r="P357" t="s">
        <v>1763</v>
      </c>
      <c r="AJ357" s="1405" t="s">
        <v>678</v>
      </c>
      <c r="AK357" s="1405"/>
    </row>
    <row r="358" spans="1:46" ht="12.95" customHeight="1">
      <c r="D358" s="3" t="s">
        <v>715</v>
      </c>
      <c r="M358" s="1405" t="s">
        <v>600</v>
      </c>
      <c r="N358" s="1405"/>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5" t="s">
        <v>600</v>
      </c>
      <c r="O363" s="1405"/>
      <c r="P363" s="40"/>
      <c r="Q363" s="40"/>
      <c r="R363" s="40"/>
      <c r="S363" s="40"/>
      <c r="T363" s="40"/>
      <c r="U363" s="40"/>
      <c r="V363" s="40"/>
      <c r="W363" s="40"/>
      <c r="X363" s="40"/>
      <c r="Y363" s="40"/>
      <c r="Z363" s="40"/>
      <c r="AC363" s="40"/>
      <c r="AD363" s="40"/>
      <c r="AE363" s="40"/>
    </row>
    <row r="364" spans="1:46" ht="12.95" customHeight="1">
      <c r="E364" t="s">
        <v>371</v>
      </c>
      <c r="Y364" s="1405" t="s">
        <v>600</v>
      </c>
      <c r="Z364" s="1405"/>
    </row>
    <row r="365" spans="1:46" ht="12.95" customHeight="1">
      <c r="D365" s="4" t="s">
        <v>998</v>
      </c>
      <c r="Q365" s="1406"/>
      <c r="R365" s="1406"/>
      <c r="S365" s="1406"/>
      <c r="T365" s="1406"/>
      <c r="U365" s="1406"/>
      <c r="V365" s="1406"/>
      <c r="W365" s="1406"/>
      <c r="X365" s="1406"/>
      <c r="Y365" s="1406"/>
      <c r="Z365" s="1406"/>
      <c r="AA365" s="1406"/>
      <c r="AB365" s="1406"/>
      <c r="AC365" s="1406"/>
      <c r="AD365" s="1406"/>
      <c r="AE365" s="1406"/>
      <c r="AF365" s="1406"/>
      <c r="AG365" s="140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5" t="s">
        <v>600</v>
      </c>
      <c r="K367" s="1405"/>
      <c r="L367" s="40"/>
      <c r="M367" s="40"/>
      <c r="N367" s="40"/>
      <c r="O367" s="40"/>
      <c r="P367" s="40"/>
      <c r="Q367" s="40"/>
      <c r="R367" s="40"/>
      <c r="S367" s="40"/>
      <c r="T367" s="40"/>
      <c r="U367" s="40"/>
      <c r="V367" s="40"/>
      <c r="W367" s="40"/>
      <c r="X367" s="40"/>
      <c r="Y367" s="40"/>
      <c r="Z367" s="40"/>
      <c r="AC367" s="40"/>
      <c r="AD367" s="40"/>
      <c r="AE367" s="40"/>
    </row>
    <row r="368" spans="1:46" ht="12.95" customHeight="1">
      <c r="E368" s="1446" t="s">
        <v>716</v>
      </c>
      <c r="F368" s="1446"/>
      <c r="G368" s="1446"/>
      <c r="H368" s="1446"/>
      <c r="I368" s="1446"/>
      <c r="J368" s="1446"/>
      <c r="K368" s="1446"/>
      <c r="L368" s="1446"/>
      <c r="M368" s="1446"/>
      <c r="N368" s="1446"/>
      <c r="O368" s="1446"/>
      <c r="P368" s="1446"/>
      <c r="Q368" s="1446"/>
      <c r="R368" s="1446"/>
      <c r="S368" s="1446"/>
      <c r="T368" s="1446"/>
      <c r="U368" s="1446"/>
      <c r="V368" s="1446"/>
      <c r="W368" s="1446"/>
      <c r="X368" s="1446"/>
      <c r="Y368" s="1446"/>
      <c r="Z368" s="1446"/>
      <c r="AA368" s="1446"/>
      <c r="AB368" s="1446"/>
      <c r="AC368" s="1446"/>
      <c r="AD368" s="1446"/>
      <c r="AE368" s="1446"/>
      <c r="AF368" s="1446"/>
      <c r="AG368" s="1446"/>
      <c r="AH368" s="1446"/>
    </row>
    <row r="369" spans="1:34" ht="12.95" customHeight="1">
      <c r="E369" s="1446"/>
      <c r="F369" s="1446"/>
      <c r="G369" s="1446"/>
      <c r="H369" s="1446"/>
      <c r="I369" s="1446"/>
      <c r="J369" s="1446"/>
      <c r="K369" s="1446"/>
      <c r="L369" s="1446"/>
      <c r="M369" s="1446"/>
      <c r="N369" s="1446"/>
      <c r="O369" s="1446"/>
      <c r="P369" s="1446"/>
      <c r="Q369" s="1446"/>
      <c r="R369" s="1446"/>
      <c r="S369" s="1446"/>
      <c r="T369" s="1446"/>
      <c r="U369" s="1446"/>
      <c r="V369" s="1446"/>
      <c r="W369" s="1446"/>
      <c r="X369" s="1446"/>
      <c r="Y369" s="1446"/>
      <c r="Z369" s="1446"/>
      <c r="AA369" s="1446"/>
      <c r="AB369" s="1446"/>
      <c r="AC369" s="1446"/>
      <c r="AD369" s="1446"/>
      <c r="AE369" s="1446"/>
      <c r="AF369" s="1446"/>
      <c r="AG369" s="1446"/>
      <c r="AH369" s="1446"/>
    </row>
    <row r="370" spans="1:34" ht="12.95" customHeight="1">
      <c r="E370" s="4" t="s">
        <v>457</v>
      </c>
      <c r="F370" s="4"/>
      <c r="G370" s="4"/>
      <c r="H370" s="4"/>
      <c r="I370" s="4"/>
      <c r="J370" s="4"/>
      <c r="K370" s="4"/>
      <c r="L370" s="4"/>
      <c r="N370" s="1404"/>
      <c r="O370" s="1404"/>
      <c r="P370" s="1404"/>
      <c r="Q370" s="1404"/>
      <c r="R370" s="4"/>
      <c r="U370" s="4" t="s">
        <v>458</v>
      </c>
      <c r="V370" s="4"/>
      <c r="W370" s="4"/>
      <c r="X370" s="4"/>
      <c r="Y370" s="4"/>
      <c r="Z370" s="4"/>
      <c r="AA370" s="4"/>
      <c r="AB370" s="4"/>
      <c r="AC370" s="1404"/>
      <c r="AD370" s="1404"/>
      <c r="AE370" s="1404"/>
      <c r="AF370" s="1404"/>
    </row>
    <row r="371" spans="1:34" ht="12.95" customHeight="1">
      <c r="E371" s="4" t="s">
        <v>459</v>
      </c>
      <c r="F371" s="4"/>
      <c r="G371" s="4"/>
      <c r="H371" s="4"/>
      <c r="I371" s="4"/>
      <c r="J371" s="4"/>
      <c r="K371" s="4"/>
      <c r="L371" s="4"/>
      <c r="N371" s="1404"/>
      <c r="O371" s="1404"/>
      <c r="P371" s="1404"/>
      <c r="Q371" s="1404"/>
      <c r="R371" s="4"/>
      <c r="U371" s="4" t="s">
        <v>0</v>
      </c>
      <c r="V371" s="4"/>
      <c r="W371" s="4"/>
      <c r="X371" s="4"/>
      <c r="Y371" s="4"/>
      <c r="Z371" s="4"/>
      <c r="AA371" s="4"/>
      <c r="AB371" s="4"/>
      <c r="AC371" s="1404"/>
      <c r="AD371" s="1404"/>
      <c r="AE371" s="1404"/>
      <c r="AF371" s="1404"/>
    </row>
    <row r="372" spans="1:34" ht="12.95" customHeight="1">
      <c r="E372" s="4" t="s">
        <v>1</v>
      </c>
      <c r="F372" s="4"/>
      <c r="G372" s="4"/>
      <c r="H372" s="4"/>
      <c r="I372" s="4"/>
      <c r="J372" s="4"/>
      <c r="K372" s="4"/>
      <c r="L372" s="4"/>
      <c r="N372" s="1404"/>
      <c r="O372" s="1404"/>
      <c r="P372" s="1404"/>
      <c r="Q372" s="1404"/>
      <c r="R372" s="4"/>
      <c r="V372" s="4"/>
      <c r="W372" s="4"/>
      <c r="X372" s="4"/>
      <c r="Y372" s="4"/>
      <c r="Z372" s="4"/>
      <c r="AA372" s="4"/>
      <c r="AB372" s="4"/>
    </row>
    <row r="373" spans="1:34" ht="12.95" customHeight="1">
      <c r="E373" s="4" t="s">
        <v>2</v>
      </c>
      <c r="F373" s="4"/>
      <c r="G373" s="4"/>
      <c r="H373" s="4"/>
      <c r="I373" s="4"/>
      <c r="J373" s="4"/>
      <c r="K373" s="4"/>
      <c r="L373" s="4"/>
      <c r="N373" s="1857"/>
      <c r="O373" s="1857"/>
      <c r="P373" s="1857"/>
      <c r="Q373" s="1857"/>
      <c r="R373" s="1857"/>
      <c r="S373" s="1857"/>
      <c r="T373" s="1857"/>
      <c r="U373" s="1857"/>
      <c r="V373" s="1857"/>
      <c r="W373" s="1857"/>
      <c r="X373" s="1857"/>
      <c r="Y373" s="1857"/>
      <c r="Z373" s="1857"/>
      <c r="AA373" s="1857"/>
      <c r="AB373" s="1857"/>
      <c r="AC373" s="1857"/>
      <c r="AD373" s="1857"/>
      <c r="AE373" s="1857"/>
      <c r="AF373" s="1857"/>
    </row>
    <row r="374" spans="1:34" ht="12.95" customHeight="1">
      <c r="E374" s="4"/>
      <c r="F374" s="4"/>
      <c r="G374" s="4"/>
      <c r="H374" s="4"/>
      <c r="I374" s="4"/>
      <c r="J374" s="4"/>
      <c r="K374" s="4"/>
      <c r="L374" s="4"/>
      <c r="N374" s="1858"/>
      <c r="O374" s="1858"/>
      <c r="P374" s="1858"/>
      <c r="Q374" s="1858"/>
      <c r="R374" s="1858"/>
      <c r="S374" s="1858"/>
      <c r="T374" s="1858"/>
      <c r="U374" s="1858"/>
      <c r="V374" s="1858"/>
      <c r="W374" s="1858"/>
      <c r="X374" s="1858"/>
      <c r="Y374" s="1858"/>
      <c r="Z374" s="1858"/>
      <c r="AA374" s="1858"/>
      <c r="AB374" s="1858"/>
      <c r="AC374" s="1858"/>
      <c r="AD374" s="1858"/>
      <c r="AE374" s="1858"/>
      <c r="AF374" s="1858"/>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2397</v>
      </c>
      <c r="F377" s="4"/>
      <c r="G377" s="4"/>
      <c r="H377" s="4"/>
      <c r="I377" s="4"/>
      <c r="J377" s="4"/>
      <c r="K377" s="4"/>
      <c r="L377" s="4"/>
      <c r="N377" t="s">
        <v>2392</v>
      </c>
      <c r="R377" s="27" t="s">
        <v>306</v>
      </c>
      <c r="S377" s="1682"/>
      <c r="T377" s="1682"/>
      <c r="U377" s="1" t="s">
        <v>307</v>
      </c>
      <c r="V377" s="1682"/>
      <c r="W377" s="1682"/>
      <c r="Y377" t="s">
        <v>2392</v>
      </c>
      <c r="AC377" s="27" t="s">
        <v>306</v>
      </c>
      <c r="AD377" s="1682"/>
      <c r="AE377" s="1682"/>
      <c r="AF377" s="1" t="s">
        <v>307</v>
      </c>
      <c r="AG377" s="1682"/>
      <c r="AH377" s="1682"/>
    </row>
    <row r="378" spans="1:34" ht="12.95" customHeight="1">
      <c r="E378" s="4" t="s">
        <v>1012</v>
      </c>
      <c r="F378" s="4"/>
      <c r="G378" s="4"/>
      <c r="H378" s="4"/>
      <c r="I378" s="4"/>
      <c r="J378" s="4"/>
      <c r="K378" s="4"/>
      <c r="L378" s="4"/>
      <c r="N378" s="1682"/>
      <c r="O378" s="1682"/>
      <c r="P378" s="1682"/>
    </row>
    <row r="379" spans="1:34" ht="12.95" customHeight="1">
      <c r="E379" s="218" t="s">
        <v>2398</v>
      </c>
      <c r="F379" s="4"/>
      <c r="G379" s="4"/>
      <c r="H379" s="4"/>
      <c r="I379" s="4"/>
      <c r="J379" s="4"/>
      <c r="K379" s="4"/>
      <c r="L379" s="4"/>
      <c r="AG379" s="1688" t="s">
        <v>600</v>
      </c>
      <c r="AH379" s="1688"/>
    </row>
    <row r="380" spans="1:34" ht="12.95" customHeight="1">
      <c r="E380" s="4"/>
      <c r="F380" s="4"/>
      <c r="G380" s="4" t="s">
        <v>2399</v>
      </c>
      <c r="H380" s="4"/>
      <c r="I380" s="4"/>
      <c r="J380" s="4"/>
      <c r="K380" s="4"/>
      <c r="L380" s="4"/>
      <c r="AG380" s="1688" t="s">
        <v>600</v>
      </c>
      <c r="AH380" s="1688"/>
    </row>
    <row r="381" spans="1:34" ht="12.95" customHeight="1">
      <c r="E381" s="4"/>
      <c r="F381" s="4"/>
      <c r="G381" s="348" t="s">
        <v>1013</v>
      </c>
      <c r="H381" s="4"/>
      <c r="I381" s="4"/>
      <c r="J381" s="4"/>
      <c r="K381" s="4"/>
      <c r="L381" s="4"/>
      <c r="V381" s="1405" t="s">
        <v>600</v>
      </c>
      <c r="W381" s="1405"/>
      <c r="Y381" s="22" t="s">
        <v>1000</v>
      </c>
    </row>
    <row r="382" spans="1:34" ht="12.95" customHeight="1">
      <c r="E382" s="4" t="s">
        <v>1001</v>
      </c>
      <c r="F382" s="4"/>
      <c r="G382" s="4"/>
      <c r="H382" s="4"/>
      <c r="I382" s="4"/>
      <c r="J382" s="4"/>
      <c r="K382" s="4"/>
      <c r="L382" s="4"/>
      <c r="V382" s="1405" t="s">
        <v>600</v>
      </c>
      <c r="W382" s="1405"/>
      <c r="Y382" s="4" t="s">
        <v>1002</v>
      </c>
    </row>
    <row r="383" spans="1:34" ht="12.95" customHeight="1"/>
    <row r="384" spans="1:34" ht="12.95" customHeight="1">
      <c r="A384" s="2" t="s">
        <v>78</v>
      </c>
      <c r="B384" s="2"/>
    </row>
    <row r="385" spans="4:36" ht="12.95" customHeight="1">
      <c r="D385" t="s">
        <v>429</v>
      </c>
      <c r="J385" s="1406" t="s">
        <v>2702</v>
      </c>
      <c r="K385" s="1406"/>
      <c r="L385" s="1406"/>
      <c r="M385" s="1406"/>
      <c r="N385" s="1406"/>
      <c r="O385" s="1406"/>
      <c r="P385" s="1406"/>
      <c r="Q385" s="1406"/>
      <c r="R385" s="1406"/>
      <c r="S385" s="1406"/>
      <c r="T385" s="1406"/>
      <c r="U385" s="1406"/>
      <c r="V385" s="8" t="s">
        <v>83</v>
      </c>
      <c r="W385" s="8"/>
      <c r="X385" s="8"/>
      <c r="Y385" s="8"/>
      <c r="Z385" s="8"/>
      <c r="AA385" s="8"/>
      <c r="AB385" s="8"/>
      <c r="AC385" s="1406" t="str">
        <f>J385</f>
        <v>John &amp; Michelle Erickson; McClellan Family Trust</v>
      </c>
      <c r="AD385" s="1406"/>
      <c r="AE385" s="1406"/>
      <c r="AF385" s="1406"/>
      <c r="AG385" s="1406"/>
      <c r="AH385" s="1406"/>
      <c r="AI385" s="1406"/>
      <c r="AJ385" s="1406"/>
    </row>
    <row r="386" spans="4:36" ht="12.95" customHeight="1">
      <c r="D386" s="3" t="s">
        <v>1289</v>
      </c>
      <c r="J386" s="1407" t="s">
        <v>2703</v>
      </c>
      <c r="K386" s="1407"/>
      <c r="L386" s="1407"/>
      <c r="M386" s="1407"/>
      <c r="N386" s="1407"/>
      <c r="O386" s="1407"/>
      <c r="P386" s="1407"/>
      <c r="Q386" s="1407"/>
      <c r="R386" s="1407"/>
      <c r="S386" s="1407"/>
      <c r="T386" s="1407"/>
      <c r="U386" s="1407"/>
      <c r="V386" s="3" t="s">
        <v>1289</v>
      </c>
      <c r="W386" s="8"/>
      <c r="X386" s="8"/>
      <c r="Y386" s="8"/>
      <c r="Z386" s="8"/>
      <c r="AA386" s="8"/>
      <c r="AB386" s="8"/>
      <c r="AC386" s="1406" t="s">
        <v>2706</v>
      </c>
      <c r="AD386" s="1406"/>
      <c r="AE386" s="1406"/>
      <c r="AF386" s="1406"/>
      <c r="AG386" s="1406"/>
      <c r="AH386" s="1406"/>
      <c r="AI386" s="1406"/>
      <c r="AJ386" s="1406"/>
    </row>
    <row r="387" spans="4:36" ht="12.95" customHeight="1">
      <c r="D387" s="3" t="s">
        <v>444</v>
      </c>
      <c r="J387" s="1407" t="s">
        <v>2704</v>
      </c>
      <c r="K387" s="1407"/>
      <c r="L387" s="1407"/>
      <c r="M387" s="1407"/>
      <c r="N387" s="1407"/>
      <c r="O387" s="1407"/>
      <c r="P387" s="1407"/>
      <c r="Q387" s="1407"/>
      <c r="R387" s="1407"/>
      <c r="S387" s="1407"/>
      <c r="T387" s="1407"/>
      <c r="U387" s="1407"/>
      <c r="V387" s="3" t="s">
        <v>444</v>
      </c>
      <c r="W387" s="8"/>
      <c r="X387" s="8"/>
      <c r="Y387" s="8"/>
      <c r="Z387" s="8"/>
      <c r="AA387" s="8"/>
      <c r="AB387" s="8"/>
      <c r="AC387" s="1406" t="s">
        <v>2707</v>
      </c>
      <c r="AD387" s="1406"/>
      <c r="AE387" s="1406"/>
      <c r="AF387" s="1406"/>
      <c r="AG387" s="1406"/>
      <c r="AH387" s="1406"/>
      <c r="AI387" s="1406"/>
      <c r="AJ387" s="1406"/>
    </row>
    <row r="388" spans="4:36" ht="12.95" customHeight="1">
      <c r="D388" t="s">
        <v>1285</v>
      </c>
      <c r="J388" s="1436" t="s">
        <v>2705</v>
      </c>
      <c r="K388" s="1436"/>
      <c r="L388" s="1436"/>
      <c r="M388" s="1436"/>
      <c r="N388" s="1436"/>
      <c r="O388" s="1436"/>
      <c r="P388" s="1436"/>
      <c r="Q388" s="1436"/>
      <c r="R388" s="1436"/>
      <c r="S388" s="1436"/>
      <c r="T388" s="1436"/>
      <c r="U388" s="1436"/>
      <c r="V388" s="1406" t="s">
        <v>2708</v>
      </c>
      <c r="W388" s="1406"/>
      <c r="X388" s="1406"/>
      <c r="Y388" s="1406"/>
      <c r="Z388" s="1406"/>
      <c r="AA388" s="1406"/>
      <c r="AB388" s="1406"/>
      <c r="AC388" s="1406"/>
      <c r="AD388" s="1406"/>
      <c r="AE388" s="1406"/>
      <c r="AF388" s="1406"/>
      <c r="AG388" s="1406"/>
      <c r="AH388" s="1406"/>
      <c r="AI388" s="1406"/>
      <c r="AJ388" s="1406"/>
    </row>
    <row r="389" spans="4:36" ht="12.95" customHeight="1">
      <c r="D389" t="s">
        <v>4</v>
      </c>
      <c r="Q389" s="1687">
        <v>45105</v>
      </c>
      <c r="R389" s="1687"/>
      <c r="S389" s="1687"/>
      <c r="T389" s="1687"/>
      <c r="U389" s="1687"/>
      <c r="V389" t="s">
        <v>310</v>
      </c>
      <c r="AI389" s="1405" t="s">
        <v>678</v>
      </c>
      <c r="AJ389" s="1405"/>
    </row>
    <row r="390" spans="4:36" ht="12.95" customHeight="1">
      <c r="D390" t="s">
        <v>5</v>
      </c>
      <c r="Q390" s="1683">
        <v>45838</v>
      </c>
      <c r="R390" s="1684"/>
      <c r="S390" s="1684"/>
      <c r="T390" s="1684"/>
      <c r="U390" s="1684"/>
      <c r="W390" s="21" t="s">
        <v>74</v>
      </c>
      <c r="AG390" s="1680"/>
      <c r="AH390" s="1680"/>
      <c r="AI390" s="1680"/>
      <c r="AJ390" s="1680"/>
    </row>
    <row r="391" spans="4:36" ht="12.95" customHeight="1">
      <c r="D391" t="s">
        <v>428</v>
      </c>
      <c r="Q391" s="1681">
        <f>3499000+1061130</f>
        <v>4560130</v>
      </c>
      <c r="R391" s="1681"/>
      <c r="S391" s="1681"/>
      <c r="T391" s="1681"/>
      <c r="U391" s="1681"/>
      <c r="V391" s="3" t="s">
        <v>1288</v>
      </c>
      <c r="AG391" s="1834">
        <v>45689</v>
      </c>
      <c r="AH391" s="1834"/>
      <c r="AI391" s="1834"/>
      <c r="AJ391" s="1834"/>
    </row>
    <row r="392" spans="4:36" ht="12.95" customHeight="1">
      <c r="D392" t="s">
        <v>88</v>
      </c>
      <c r="I392" s="1468"/>
      <c r="J392" s="1468"/>
      <c r="K392" s="1468"/>
      <c r="L392" s="1468"/>
      <c r="M392" s="1468"/>
      <c r="N392" s="1468"/>
      <c r="Q392" s="4" t="s">
        <v>207</v>
      </c>
      <c r="S392" s="1686"/>
      <c r="T392" s="1686"/>
      <c r="U392" s="1686"/>
      <c r="V392" t="s">
        <v>73</v>
      </c>
      <c r="AI392" s="1405" t="s">
        <v>678</v>
      </c>
      <c r="AJ392" s="1405"/>
    </row>
    <row r="393" spans="4:36" ht="12.95" customHeight="1">
      <c r="D393" t="s">
        <v>311</v>
      </c>
      <c r="Q393" s="1439"/>
      <c r="R393" s="1439"/>
      <c r="S393" s="1439"/>
      <c r="T393" s="1439"/>
      <c r="U393" s="1439"/>
      <c r="V393" t="s">
        <v>312</v>
      </c>
      <c r="AG393" s="1680">
        <v>210341</v>
      </c>
      <c r="AH393" s="1680"/>
      <c r="AI393" s="1680"/>
      <c r="AJ393" s="1680"/>
    </row>
    <row r="394" spans="4:36" ht="12.95" customHeight="1">
      <c r="D394" t="s">
        <v>313</v>
      </c>
      <c r="Q394" s="1775"/>
      <c r="R394" s="1775"/>
      <c r="S394" s="1775"/>
      <c r="T394" s="1775"/>
      <c r="U394" s="1775"/>
      <c r="V394" t="s">
        <v>1269</v>
      </c>
      <c r="AG394" s="1680"/>
      <c r="AH394" s="1680"/>
      <c r="AI394" s="1680"/>
      <c r="AJ394" s="1680"/>
    </row>
    <row r="395" spans="4:36" ht="12.95" customHeight="1">
      <c r="D395" t="s">
        <v>1268</v>
      </c>
      <c r="AG395" s="1680"/>
      <c r="AH395" s="1680"/>
      <c r="AI395" s="1680"/>
      <c r="AJ395" s="1680"/>
    </row>
    <row r="396" spans="4:36" ht="12.95" customHeight="1">
      <c r="AG396" s="490"/>
      <c r="AH396" s="490"/>
      <c r="AI396" s="490"/>
      <c r="AJ396" s="490"/>
    </row>
    <row r="397" spans="4:36" ht="12.95" customHeight="1">
      <c r="D397" s="3" t="s">
        <v>2497</v>
      </c>
      <c r="AG397" s="490"/>
      <c r="AH397" s="490"/>
      <c r="AI397" s="1405" t="s">
        <v>678</v>
      </c>
      <c r="AJ397" s="1405"/>
    </row>
    <row r="398" spans="4:36" ht="12.95" customHeight="1">
      <c r="D398" s="3" t="s">
        <v>1782</v>
      </c>
      <c r="T398" s="1788"/>
      <c r="U398" s="1788"/>
      <c r="V398" s="1788"/>
      <c r="W398" s="1788"/>
      <c r="X398" s="1788"/>
      <c r="Y398" s="1788"/>
      <c r="Z398" s="1788"/>
      <c r="AA398" s="1788"/>
      <c r="AB398" s="1788"/>
      <c r="AC398" s="1788"/>
      <c r="AD398" s="1788"/>
      <c r="AE398" s="1788"/>
      <c r="AF398" s="1788"/>
      <c r="AG398" s="1788"/>
      <c r="AH398" s="1788"/>
      <c r="AI398" s="1788"/>
      <c r="AJ398" s="1788"/>
    </row>
    <row r="399" spans="4:36" ht="12.95" customHeight="1">
      <c r="D399" s="3" t="s">
        <v>1781</v>
      </c>
      <c r="T399" s="1788"/>
      <c r="U399" s="1788"/>
      <c r="V399" s="1788"/>
      <c r="W399" s="1788"/>
      <c r="X399" s="1788"/>
      <c r="Y399" s="1788"/>
      <c r="Z399" s="1788"/>
      <c r="AA399" s="1788"/>
      <c r="AB399" s="1788"/>
      <c r="AC399" s="1788"/>
      <c r="AD399" s="1788"/>
      <c r="AE399" s="1788"/>
      <c r="AF399" s="1788"/>
      <c r="AG399" s="1788"/>
      <c r="AH399" s="1788"/>
      <c r="AI399" s="1788"/>
      <c r="AJ399" s="1788"/>
    </row>
    <row r="400" spans="4:36" ht="12.95" customHeight="1">
      <c r="AG400" s="490"/>
      <c r="AH400" s="490"/>
      <c r="AI400" s="490"/>
      <c r="AJ400" s="490"/>
    </row>
    <row r="401" spans="1:36" ht="12.95" customHeight="1">
      <c r="D401" s="3" t="s">
        <v>1775</v>
      </c>
      <c r="S401" s="1788" t="s">
        <v>678</v>
      </c>
      <c r="T401" s="1788"/>
      <c r="U401" s="1788"/>
      <c r="V401" t="s">
        <v>1776</v>
      </c>
      <c r="AG401" s="1850"/>
      <c r="AH401" s="1850"/>
      <c r="AI401" s="1850"/>
      <c r="AJ401" s="1850"/>
    </row>
    <row r="402" spans="1:36" ht="12.95" customHeight="1">
      <c r="D402" s="3" t="s">
        <v>1773</v>
      </c>
      <c r="S402" s="1788" t="s">
        <v>600</v>
      </c>
      <c r="T402" s="1788"/>
      <c r="U402" s="1788"/>
      <c r="V402" t="s">
        <v>1778</v>
      </c>
      <c r="AE402" s="1855"/>
      <c r="AF402" s="1855"/>
      <c r="AG402" s="1855"/>
      <c r="AH402" s="1855"/>
      <c r="AI402" s="1855"/>
      <c r="AJ402" s="1855"/>
    </row>
    <row r="403" spans="1:36" ht="12.95" customHeight="1">
      <c r="D403" s="3" t="s">
        <v>1774</v>
      </c>
      <c r="K403" s="1819"/>
      <c r="L403" s="1819"/>
      <c r="M403" s="1819"/>
      <c r="N403" s="1819"/>
      <c r="O403" s="1819"/>
      <c r="P403" s="1819"/>
      <c r="Q403" s="1819"/>
      <c r="R403" s="1819"/>
      <c r="S403" s="1819"/>
      <c r="T403" s="1819"/>
      <c r="U403" s="1819"/>
      <c r="V403" s="1819"/>
      <c r="W403" s="1819"/>
      <c r="X403" s="1819"/>
      <c r="Y403" s="1819"/>
      <c r="Z403" s="1819"/>
      <c r="AA403" s="1819"/>
      <c r="AB403" s="1819"/>
      <c r="AC403" s="1819"/>
      <c r="AD403" s="1819"/>
      <c r="AE403" s="1819"/>
      <c r="AF403" s="1819"/>
      <c r="AG403" s="1819"/>
      <c r="AH403" s="1819"/>
      <c r="AI403" s="1819"/>
      <c r="AJ403" s="1819"/>
    </row>
    <row r="404" spans="1:36" ht="12.95" customHeight="1">
      <c r="D404" s="3" t="s">
        <v>1777</v>
      </c>
      <c r="K404" s="1819"/>
      <c r="L404" s="1819"/>
      <c r="M404" s="1819"/>
      <c r="N404" s="1819"/>
      <c r="O404" s="1819"/>
      <c r="P404" s="1819"/>
      <c r="Q404" s="1819"/>
      <c r="R404" s="1819"/>
      <c r="S404" s="1819"/>
      <c r="T404" s="1819"/>
      <c r="U404" s="1819"/>
      <c r="V404" s="1819"/>
      <c r="W404" s="1819"/>
      <c r="X404" s="1819"/>
      <c r="Y404" s="1819"/>
      <c r="Z404" s="1819"/>
      <c r="AA404" s="1819"/>
      <c r="AB404" s="1819"/>
      <c r="AC404" s="1819"/>
      <c r="AD404" s="1819"/>
      <c r="AE404" s="1819"/>
      <c r="AF404" s="1819"/>
      <c r="AG404" s="1819"/>
      <c r="AH404" s="1819"/>
      <c r="AI404" s="1819"/>
      <c r="AJ404" s="1819"/>
    </row>
    <row r="405" spans="1:36" ht="12.95" customHeight="1">
      <c r="D405" s="3" t="s">
        <v>1780</v>
      </c>
      <c r="E405" s="511"/>
      <c r="F405" s="511"/>
      <c r="G405" s="511"/>
      <c r="H405" s="511"/>
      <c r="I405" s="511"/>
      <c r="J405" s="511"/>
      <c r="K405" s="511"/>
      <c r="L405" s="511"/>
      <c r="M405" s="511"/>
      <c r="N405" s="511"/>
      <c r="O405" s="511"/>
      <c r="P405" s="511"/>
      <c r="Q405" s="511"/>
      <c r="R405" s="511"/>
      <c r="S405" s="1840" t="s">
        <v>1291</v>
      </c>
      <c r="T405" s="1840"/>
      <c r="U405" s="1840"/>
      <c r="V405" s="1840"/>
      <c r="W405" s="1840"/>
      <c r="X405" s="1840"/>
      <c r="Y405" s="1840"/>
      <c r="Z405" s="1840"/>
      <c r="AA405" s="1840"/>
      <c r="AB405" s="1840"/>
      <c r="AC405" s="1840"/>
      <c r="AD405" s="1840"/>
      <c r="AE405" s="1840"/>
      <c r="AF405" s="1840"/>
      <c r="AG405" s="1840"/>
      <c r="AH405" s="1840"/>
      <c r="AI405" s="1840"/>
      <c r="AJ405" s="1840"/>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47" t="s">
        <v>2709</v>
      </c>
      <c r="J410" s="1447"/>
      <c r="K410" s="1447"/>
      <c r="L410" s="1447"/>
      <c r="M410" s="1447"/>
      <c r="N410" s="1447"/>
      <c r="O410" s="1447"/>
      <c r="P410" s="1447"/>
      <c r="Q410" s="1447"/>
      <c r="R410" s="1447"/>
      <c r="S410" s="1447"/>
      <c r="T410" s="1447"/>
      <c r="U410" s="1447"/>
      <c r="V410" s="1447"/>
      <c r="W410" s="1447"/>
      <c r="X410" s="1447"/>
      <c r="Y410" s="1447"/>
      <c r="Z410" s="1447"/>
      <c r="AA410" s="1447"/>
      <c r="AB410" s="1447"/>
      <c r="AC410" s="1447"/>
      <c r="AD410" s="1447"/>
      <c r="AE410" s="1447"/>
    </row>
    <row r="411" spans="1:36" ht="12.95" customHeight="1">
      <c r="E411" t="s">
        <v>106</v>
      </c>
      <c r="R411" s="1405" t="s">
        <v>554</v>
      </c>
      <c r="S411" s="1405"/>
      <c r="AC411" s="27" t="s">
        <v>579</v>
      </c>
      <c r="AD411" s="1404">
        <v>4</v>
      </c>
      <c r="AE411" s="1404"/>
    </row>
    <row r="412" spans="1:36" ht="12.95" customHeight="1">
      <c r="E412" t="s">
        <v>107</v>
      </c>
      <c r="R412" s="1405" t="s">
        <v>554</v>
      </c>
      <c r="S412" s="1405"/>
      <c r="AC412" s="27" t="s">
        <v>579</v>
      </c>
      <c r="AD412" s="1404">
        <v>3</v>
      </c>
      <c r="AE412" s="1404"/>
    </row>
    <row r="413" spans="1:36" ht="12.95" customHeight="1">
      <c r="E413" t="s">
        <v>108</v>
      </c>
      <c r="S413" s="1405" t="s">
        <v>600</v>
      </c>
      <c r="T413" s="1405"/>
    </row>
    <row r="414" spans="1:36" ht="12.95" customHeight="1">
      <c r="E414" t="s">
        <v>170</v>
      </c>
      <c r="H414" s="1624" t="s">
        <v>335</v>
      </c>
      <c r="I414" s="1624"/>
      <c r="J414" s="1624"/>
      <c r="K414" s="1624"/>
      <c r="L414" s="1624"/>
      <c r="M414" s="1624"/>
      <c r="N414" s="1624"/>
      <c r="O414" s="1624"/>
      <c r="P414" s="1624"/>
      <c r="Q414" s="1624"/>
      <c r="R414" s="1624"/>
      <c r="S414" s="1624"/>
      <c r="T414" s="1624"/>
      <c r="U414" s="1624"/>
      <c r="V414" s="1624"/>
      <c r="W414" s="1624"/>
      <c r="X414" s="1624"/>
      <c r="Y414" s="1624"/>
      <c r="Z414" s="1624"/>
      <c r="AA414" s="1624"/>
      <c r="AB414" s="1624"/>
      <c r="AC414" s="1624"/>
      <c r="AD414" s="1624"/>
      <c r="AE414" s="1624"/>
    </row>
    <row r="415" spans="1:36" ht="12.95" customHeight="1">
      <c r="H415" s="1625"/>
      <c r="I415" s="1625"/>
      <c r="J415" s="1625"/>
      <c r="K415" s="1625"/>
      <c r="L415" s="1625"/>
      <c r="M415" s="1625"/>
      <c r="N415" s="1625"/>
      <c r="O415" s="1625"/>
      <c r="P415" s="1625"/>
      <c r="Q415" s="1625"/>
      <c r="R415" s="1625"/>
      <c r="S415" s="1625"/>
      <c r="T415" s="1625"/>
      <c r="U415" s="1625"/>
      <c r="V415" s="1625"/>
      <c r="W415" s="1625"/>
      <c r="X415" s="1625"/>
      <c r="Y415" s="1625"/>
      <c r="Z415" s="1625"/>
      <c r="AA415" s="1625"/>
      <c r="AB415" s="1625"/>
      <c r="AC415" s="1625"/>
      <c r="AD415" s="1625"/>
      <c r="AE415" s="1625"/>
    </row>
    <row r="416" spans="1:36" ht="12.95" customHeight="1"/>
    <row r="417" spans="1:39" ht="12.95" customHeight="1">
      <c r="A417" s="2" t="s">
        <v>599</v>
      </c>
      <c r="B417" s="2"/>
      <c r="C417" s="2"/>
      <c r="D417" s="2" t="s">
        <v>114</v>
      </c>
      <c r="AF417" s="2" t="s">
        <v>977</v>
      </c>
    </row>
    <row r="418" spans="1:39" ht="12.95" customHeight="1">
      <c r="E418" s="1682"/>
      <c r="F418" s="1682"/>
      <c r="G418" s="1682"/>
      <c r="H418" s="13" t="s">
        <v>115</v>
      </c>
      <c r="I418" s="1682"/>
      <c r="J418" s="1682"/>
      <c r="K418" s="1682"/>
      <c r="L418" t="s">
        <v>116</v>
      </c>
      <c r="N418" s="27" t="s">
        <v>584</v>
      </c>
      <c r="P418" s="1685">
        <v>5.74</v>
      </c>
      <c r="Q418" s="1685"/>
      <c r="R418" s="1685"/>
      <c r="S418" t="s">
        <v>117</v>
      </c>
      <c r="W418" s="1876">
        <f>IF(E418&gt;0,(E418*I418),(P418*43560))</f>
        <v>250034.40000000002</v>
      </c>
      <c r="X418" s="1876"/>
      <c r="Y418" s="1876"/>
      <c r="Z418" t="s">
        <v>118</v>
      </c>
      <c r="AF418" s="1702">
        <f>IFERROR(IF(P418&gt;0,(AG437/P418),(AG437/(W418/43560))),0)</f>
        <v>29.965156794425084</v>
      </c>
      <c r="AG418" s="1702"/>
      <c r="AH418" s="1702"/>
      <c r="AM418" s="3"/>
    </row>
    <row r="419" spans="1:39" ht="12.95" customHeight="1">
      <c r="E419" t="s">
        <v>51</v>
      </c>
    </row>
    <row r="420" spans="1:39" ht="12.95" customHeight="1">
      <c r="E420" s="1854"/>
      <c r="F420" s="1854"/>
      <c r="G420" s="1854"/>
      <c r="H420" s="1854"/>
      <c r="I420" s="1854"/>
      <c r="J420" s="1854"/>
      <c r="K420" s="1854"/>
      <c r="L420" s="1854"/>
      <c r="M420" s="1854"/>
      <c r="N420" s="1854"/>
      <c r="O420" s="1854"/>
      <c r="P420" s="1854"/>
      <c r="Q420" s="1854"/>
      <c r="R420" s="1854"/>
      <c r="S420" s="1854"/>
      <c r="T420" s="1854"/>
      <c r="U420" s="1854"/>
      <c r="V420" s="1854"/>
      <c r="W420" s="1854"/>
      <c r="X420" s="1854"/>
      <c r="Y420" s="1854"/>
      <c r="Z420" s="1854"/>
      <c r="AA420" s="1854"/>
      <c r="AB420" s="1854"/>
      <c r="AC420" s="1854"/>
      <c r="AD420" s="1854"/>
      <c r="AE420" s="1854"/>
      <c r="AF420" s="1854"/>
      <c r="AG420" s="1854"/>
      <c r="AH420" s="1854"/>
      <c r="AI420" s="1854"/>
      <c r="AJ420" s="1854"/>
    </row>
    <row r="421" spans="1:39" ht="12.95" customHeight="1">
      <c r="E421" s="118" t="s">
        <v>1927</v>
      </c>
      <c r="F421" s="1048"/>
      <c r="G421" s="1048"/>
      <c r="H421" s="1048"/>
      <c r="I421" s="1786">
        <v>5.61</v>
      </c>
      <c r="J421" s="1786"/>
      <c r="K421" s="1786"/>
      <c r="L421" s="1048"/>
      <c r="M421" s="118"/>
      <c r="N421" s="1048"/>
      <c r="O421" s="1048"/>
      <c r="P421" s="1647">
        <f>(CS634+CS642+CS658)/I421</f>
        <v>57.040998217468804</v>
      </c>
      <c r="Q421" s="1647"/>
      <c r="R421" s="1647"/>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05">
        <v>5</v>
      </c>
      <c r="Q424" s="1405"/>
      <c r="S424" t="s">
        <v>190</v>
      </c>
      <c r="AE424" s="1405">
        <v>5</v>
      </c>
      <c r="AF424" s="1405"/>
    </row>
    <row r="425" spans="1:39" ht="12.95" customHeight="1">
      <c r="E425" t="s">
        <v>191</v>
      </c>
      <c r="P425" s="1405">
        <v>0</v>
      </c>
      <c r="Q425" s="1405"/>
      <c r="S425" t="s">
        <v>131</v>
      </c>
      <c r="AE425" s="1405" t="s">
        <v>600</v>
      </c>
      <c r="AF425" s="1405"/>
    </row>
    <row r="426" spans="1:39" ht="12.95" customHeight="1">
      <c r="F426" s="28" t="s">
        <v>132</v>
      </c>
    </row>
    <row r="427" spans="1:39" ht="12.95" customHeight="1">
      <c r="F427" s="1810"/>
      <c r="G427" s="1810"/>
      <c r="H427" s="1810"/>
      <c r="I427" s="1810"/>
      <c r="J427" s="1810"/>
      <c r="K427" s="1810"/>
      <c r="L427" s="1810"/>
      <c r="M427" s="1810"/>
      <c r="N427" s="1810"/>
      <c r="O427" s="1810"/>
      <c r="P427" s="1810"/>
      <c r="Q427" s="1810"/>
      <c r="R427" s="1810"/>
      <c r="S427" s="1810"/>
      <c r="T427" s="1810"/>
      <c r="U427" s="1810"/>
      <c r="V427" s="1810"/>
      <c r="W427" s="1810"/>
      <c r="X427" s="1810"/>
      <c r="Y427" s="1810"/>
      <c r="Z427" s="1810"/>
      <c r="AA427" s="1810"/>
      <c r="AB427" s="1810"/>
      <c r="AC427" s="1810"/>
      <c r="AD427" s="1810"/>
      <c r="AE427" s="1810"/>
      <c r="AF427" s="1810"/>
      <c r="AG427" s="1810"/>
      <c r="AH427" s="1810"/>
    </row>
    <row r="428" spans="1:39" ht="12.95" customHeight="1">
      <c r="F428" s="1811"/>
      <c r="G428" s="1811"/>
      <c r="H428" s="1811"/>
      <c r="I428" s="1811"/>
      <c r="J428" s="1811"/>
      <c r="K428" s="1811"/>
      <c r="L428" s="1811"/>
      <c r="M428" s="1811"/>
      <c r="N428" s="1811"/>
      <c r="O428" s="1811"/>
      <c r="P428" s="1811"/>
      <c r="Q428" s="1811"/>
      <c r="R428" s="1811"/>
      <c r="S428" s="1811"/>
      <c r="T428" s="1811"/>
      <c r="U428" s="1811"/>
      <c r="V428" s="1811"/>
      <c r="W428" s="1811"/>
      <c r="X428" s="1811"/>
      <c r="Y428" s="1811"/>
      <c r="Z428" s="1811"/>
      <c r="AA428" s="1811"/>
      <c r="AB428" s="1811"/>
      <c r="AC428" s="1811"/>
      <c r="AD428" s="1811"/>
      <c r="AE428" s="1811"/>
      <c r="AF428" s="1811"/>
      <c r="AG428" s="1811"/>
      <c r="AH428" s="1811"/>
    </row>
    <row r="429" spans="1:39" ht="12.95" customHeight="1">
      <c r="E429" t="s">
        <v>617</v>
      </c>
      <c r="P429" s="1"/>
      <c r="Q429" s="1405" t="s">
        <v>554</v>
      </c>
      <c r="R429" s="1405"/>
    </row>
    <row r="430" spans="1:39" ht="12.95" customHeight="1">
      <c r="F430" t="s">
        <v>618</v>
      </c>
      <c r="P430" s="1"/>
      <c r="Q430" s="1"/>
      <c r="AF430" s="1405" t="s">
        <v>600</v>
      </c>
      <c r="AG430" s="1869"/>
    </row>
    <row r="431" spans="1:39" ht="12.95" customHeight="1"/>
    <row r="432" spans="1:39" ht="12.95" customHeight="1">
      <c r="A432" s="2"/>
      <c r="B432" s="2"/>
      <c r="C432" s="2"/>
      <c r="E432" s="4" t="s">
        <v>309</v>
      </c>
      <c r="Z432" s="1405" t="s">
        <v>678</v>
      </c>
      <c r="AA432" s="140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05" t="s">
        <v>600</v>
      </c>
      <c r="AA434" s="1405"/>
    </row>
    <row r="435" spans="1:110" ht="12.95" customHeight="1"/>
    <row r="436" spans="1:110" ht="12.95" customHeight="1">
      <c r="A436" s="2" t="s">
        <v>476</v>
      </c>
      <c r="B436" s="2"/>
      <c r="C436" s="2"/>
      <c r="D436" s="2" t="s">
        <v>774</v>
      </c>
      <c r="AF436" s="48"/>
    </row>
    <row r="437" spans="1:110" ht="12.95" customHeight="1">
      <c r="D437" s="1363" t="s">
        <v>43</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851"/>
      <c r="AG437" s="1776">
        <v>172</v>
      </c>
      <c r="AH437" s="1776"/>
      <c r="AI437" s="1776"/>
      <c r="AJ437" s="1776"/>
    </row>
    <row r="438" spans="1:110" ht="12.95" customHeight="1">
      <c r="D438" s="1692" t="s">
        <v>1330</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853">
        <v>0</v>
      </c>
      <c r="AH438" s="1365"/>
      <c r="AI438" s="1365"/>
      <c r="AJ438" s="1365"/>
    </row>
    <row r="439" spans="1:110" ht="12.95" customHeight="1">
      <c r="D439" s="1692" t="s">
        <v>1056</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776">
        <v>170</v>
      </c>
      <c r="AH439" s="1776"/>
      <c r="AI439" s="1776"/>
      <c r="AJ439" s="1776"/>
    </row>
    <row r="440" spans="1:110" ht="12.95" customHeight="1">
      <c r="D440" s="1692" t="s">
        <v>1057</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776">
        <v>170</v>
      </c>
      <c r="AH440" s="1776"/>
      <c r="AI440" s="1776"/>
      <c r="AJ440" s="1776"/>
    </row>
    <row r="441" spans="1:110" ht="12.95" customHeight="1">
      <c r="D441" s="1692" t="s">
        <v>1059</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852">
        <f>IF(ISERROR(AG440/AG439),"",AG440/AG439)</f>
        <v>1</v>
      </c>
      <c r="AH441" s="1852"/>
      <c r="AI441" s="1852"/>
      <c r="AJ441" s="1852"/>
    </row>
    <row r="442" spans="1:110" ht="12.95" customHeight="1">
      <c r="D442" s="1692" t="s">
        <v>1058</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706">
        <f>146646-1199*2</f>
        <v>144248</v>
      </c>
      <c r="AH442" s="1706"/>
      <c r="AI442" s="1706"/>
      <c r="AJ442" s="1706"/>
    </row>
    <row r="443" spans="1:110" ht="12.95" customHeight="1">
      <c r="D443" s="1692" t="s">
        <v>1060</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706">
        <f>AG442</f>
        <v>144248</v>
      </c>
      <c r="AH443" s="1706"/>
      <c r="AI443" s="1706"/>
      <c r="AJ443" s="1706"/>
    </row>
    <row r="444" spans="1:110" ht="12.95" customHeight="1">
      <c r="D444" s="1692" t="s">
        <v>1061</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852">
        <f>IF(ISERROR(AG443/AG442),"",AG443/AG442)</f>
        <v>1</v>
      </c>
      <c r="AH444" s="1852"/>
      <c r="AI444" s="1852"/>
      <c r="AJ444" s="1852"/>
    </row>
    <row r="445" spans="1:110" ht="12.95" customHeight="1">
      <c r="D445" s="1692" t="s">
        <v>1062</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852">
        <f>MIN(IF(AG441&gt;AG444,AG444,AG441),1)</f>
        <v>1</v>
      </c>
      <c r="AH445" s="1852"/>
      <c r="AI445" s="1852"/>
      <c r="AJ445" s="1852"/>
    </row>
    <row r="446" spans="1:110" ht="12.95" customHeight="1">
      <c r="D446" s="1692" t="s">
        <v>2400</v>
      </c>
      <c r="E446" s="1364"/>
      <c r="F446" s="1364"/>
      <c r="G446" s="1364"/>
      <c r="H446" s="1364"/>
      <c r="I446" s="1364"/>
      <c r="J446" s="1364"/>
      <c r="K446" s="1364"/>
      <c r="L446" s="1364"/>
      <c r="M446" s="1364"/>
      <c r="N446" s="1364"/>
      <c r="O446" s="1364"/>
      <c r="P446" s="1364"/>
      <c r="Q446" s="1364"/>
      <c r="R446" s="1364"/>
      <c r="S446" s="1364"/>
      <c r="T446" s="1364"/>
      <c r="U446" s="1364"/>
      <c r="V446" s="1364"/>
      <c r="W446" s="1364"/>
      <c r="X446" s="1364"/>
      <c r="Y446" s="1364"/>
      <c r="Z446" s="1364"/>
      <c r="AA446" s="1364"/>
      <c r="AB446" s="1364"/>
      <c r="AC446" s="1364"/>
      <c r="AD446" s="1364"/>
      <c r="AE446" s="1364"/>
      <c r="AF446" s="1851"/>
      <c r="AG446" s="1706">
        <f>879+665+903+875+884+241+459</f>
        <v>4906</v>
      </c>
      <c r="AH446" s="1706"/>
      <c r="AI446" s="1706"/>
      <c r="AJ446" s="17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3" t="s">
        <v>578</v>
      </c>
      <c r="E447" s="1364"/>
      <c r="F447" s="1364"/>
      <c r="G447" s="1364"/>
      <c r="H447" s="1364"/>
      <c r="I447" s="1364"/>
      <c r="J447" s="1364"/>
      <c r="K447" s="1364"/>
      <c r="L447" s="1364"/>
      <c r="M447" s="1364"/>
      <c r="N447" s="1364"/>
      <c r="O447" s="1364"/>
      <c r="P447" s="1364"/>
      <c r="Q447" s="1364"/>
      <c r="R447" s="1364"/>
      <c r="S447" s="1364"/>
      <c r="T447" s="1364"/>
      <c r="U447" s="1364"/>
      <c r="V447" s="1364"/>
      <c r="W447" s="1364"/>
      <c r="X447" s="1364"/>
      <c r="Y447" s="1364"/>
      <c r="Z447" s="1364"/>
      <c r="AA447" s="1364"/>
      <c r="AB447" s="1364"/>
      <c r="AC447" s="1364"/>
      <c r="AD447" s="1364"/>
      <c r="AE447" s="1364"/>
      <c r="AF447" s="1851"/>
      <c r="AG447" s="1706">
        <v>0</v>
      </c>
      <c r="AH447" s="1706"/>
      <c r="AI447" s="1706"/>
      <c r="AJ447" s="17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2" t="s">
        <v>1312</v>
      </c>
      <c r="E448" s="1364"/>
      <c r="F448" s="1364"/>
      <c r="G448" s="1364"/>
      <c r="H448" s="1364"/>
      <c r="I448" s="1364"/>
      <c r="J448" s="1364"/>
      <c r="K448" s="1364"/>
      <c r="L448" s="1364"/>
      <c r="M448" s="1364"/>
      <c r="N448" s="1364"/>
      <c r="O448" s="1364"/>
      <c r="P448" s="1364"/>
      <c r="Q448" s="1364"/>
      <c r="R448" s="1364"/>
      <c r="S448" s="1364"/>
      <c r="T448" s="1364"/>
      <c r="U448" s="1364"/>
      <c r="V448" s="1364"/>
      <c r="W448" s="1364"/>
      <c r="X448" s="1364"/>
      <c r="Y448" s="1364"/>
      <c r="Z448" s="1364"/>
      <c r="AA448" s="1364"/>
      <c r="AB448" s="1364"/>
      <c r="AC448" s="1364"/>
      <c r="AD448" s="1364"/>
      <c r="AE448" s="1364"/>
      <c r="AF448" s="1851"/>
      <c r="AG448" s="1706">
        <f>AG446+1199*2</f>
        <v>7304</v>
      </c>
      <c r="AH448" s="1706"/>
      <c r="AI448" s="1706"/>
      <c r="AJ448" s="17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2" t="s">
        <v>1063</v>
      </c>
      <c r="E449" s="1364"/>
      <c r="F449" s="1364"/>
      <c r="G449" s="1364"/>
      <c r="H449" s="1364"/>
      <c r="I449" s="1364"/>
      <c r="J449" s="1364"/>
      <c r="K449" s="1364"/>
      <c r="L449" s="1364"/>
      <c r="M449" s="1364"/>
      <c r="N449" s="1364"/>
      <c r="O449" s="1364"/>
      <c r="P449" s="1364"/>
      <c r="Q449" s="1364"/>
      <c r="R449" s="1364"/>
      <c r="S449" s="1364"/>
      <c r="T449" s="1364"/>
      <c r="U449" s="1364"/>
      <c r="V449" s="1364"/>
      <c r="W449" s="1364"/>
      <c r="X449" s="1364"/>
      <c r="Y449" s="1364"/>
      <c r="Z449" s="1364"/>
      <c r="AA449" s="1364"/>
      <c r="AB449" s="1364"/>
      <c r="AC449" s="1364"/>
      <c r="AD449" s="1364"/>
      <c r="AE449" s="1364"/>
      <c r="AF449" s="1851"/>
      <c r="AG449" s="1706">
        <v>0</v>
      </c>
      <c r="AH449" s="1706"/>
      <c r="AI449" s="1706"/>
      <c r="AJ449" s="17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9" t="s">
        <v>1064</v>
      </c>
      <c r="E450" s="1830"/>
      <c r="F450" s="1830"/>
      <c r="G450" s="1830"/>
      <c r="H450" s="1830"/>
      <c r="I450" s="1830"/>
      <c r="J450" s="1830"/>
      <c r="K450" s="1830"/>
      <c r="L450" s="1830"/>
      <c r="M450" s="1830"/>
      <c r="N450" s="1830"/>
      <c r="O450" s="1830"/>
      <c r="P450" s="1830"/>
      <c r="Q450" s="1830"/>
      <c r="R450" s="1830"/>
      <c r="S450" s="1830"/>
      <c r="T450" s="1830"/>
      <c r="U450" s="1830"/>
      <c r="V450" s="1830"/>
      <c r="W450" s="1830"/>
      <c r="X450" s="1830"/>
      <c r="Y450" s="1830"/>
      <c r="Z450" s="1830"/>
      <c r="AA450" s="1830"/>
      <c r="AB450" s="1830"/>
      <c r="AC450" s="1830"/>
      <c r="AD450" s="1830"/>
      <c r="AE450" s="1830"/>
      <c r="AF450" s="1831"/>
      <c r="AG450" s="1870">
        <f>AG442+AG446+AG448+AG449</f>
        <v>156458</v>
      </c>
      <c r="AH450" s="1870"/>
      <c r="AI450" s="1870"/>
      <c r="AJ450" s="18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2" t="s">
        <v>1313</v>
      </c>
      <c r="E451" s="1832"/>
      <c r="F451" s="1832"/>
      <c r="G451" s="1832"/>
      <c r="H451" s="1832"/>
      <c r="I451" s="1832"/>
      <c r="J451" s="1832"/>
      <c r="K451" s="1832"/>
      <c r="L451" s="1832"/>
      <c r="M451" s="1832"/>
      <c r="N451" s="1832"/>
      <c r="O451" s="1832"/>
      <c r="P451" s="1832"/>
      <c r="Q451" s="1832"/>
      <c r="R451" s="1832"/>
      <c r="S451" s="1832"/>
      <c r="T451" s="1832"/>
      <c r="U451" s="1832"/>
      <c r="V451" s="1832"/>
      <c r="W451" s="1832"/>
      <c r="X451" s="1832"/>
      <c r="Y451" s="1832"/>
      <c r="Z451" s="1832"/>
      <c r="AA451" s="1832"/>
      <c r="AB451" s="1832"/>
      <c r="AC451" s="1832"/>
      <c r="AD451" s="1832"/>
      <c r="AE451" s="1832"/>
      <c r="AF451" s="1832"/>
      <c r="AG451" s="1832"/>
      <c r="AH451" s="1832"/>
      <c r="AI451" s="1832"/>
      <c r="AJ451" s="18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3"/>
      <c r="E452" s="1833"/>
      <c r="F452" s="1833"/>
      <c r="G452" s="1833"/>
      <c r="H452" s="1833"/>
      <c r="I452" s="1833"/>
      <c r="J452" s="1833"/>
      <c r="K452" s="1833"/>
      <c r="L452" s="1833"/>
      <c r="M452" s="1833"/>
      <c r="N452" s="1833"/>
      <c r="O452" s="1833"/>
      <c r="P452" s="1833"/>
      <c r="Q452" s="1833"/>
      <c r="R452" s="1833"/>
      <c r="S452" s="1833"/>
      <c r="T452" s="1833"/>
      <c r="U452" s="1833"/>
      <c r="V452" s="1833"/>
      <c r="W452" s="1833"/>
      <c r="X452" s="1833"/>
      <c r="Y452" s="1833"/>
      <c r="Z452" s="1833"/>
      <c r="AA452" s="1833"/>
      <c r="AB452" s="1833"/>
      <c r="AC452" s="1833"/>
      <c r="AD452" s="1833"/>
      <c r="AE452" s="1833"/>
      <c r="AF452" s="1833"/>
      <c r="AG452" s="1833"/>
      <c r="AH452" s="1833"/>
      <c r="AI452" s="1833"/>
      <c r="AJ452" s="183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3">
        <f>IF(AG437=0,"",'Sources and Uses Budget'!B105/Application!AG437)</f>
        <v>596840.1545348838</v>
      </c>
      <c r="AD454" s="1783"/>
      <c r="AE454" s="1783"/>
      <c r="AF454" s="178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3">
        <f>IF(AG437=0,"",'Sources and Uses Budget'!C105/Application!AG437)</f>
        <v>596840.1545348838</v>
      </c>
      <c r="AD455" s="1783"/>
      <c r="AE455" s="1783"/>
      <c r="AF455" s="178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3">
        <f>IF(AG437=0,"",('Sources and Uses Budget'!$S$107+'Sources and Uses Budget'!$T$107)/Application!AG437)</f>
        <v>544944.2586046512</v>
      </c>
      <c r="AD456" s="1783"/>
      <c r="AE456" s="1783"/>
      <c r="AF456" s="178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4" t="str">
        <f>IFERROR(IF(AC454&gt;650000,"Please provide a justification of cost per unit in Tab 12 for all projects with per unit costs of greater than $650,000.",""),"")</f>
        <v/>
      </c>
      <c r="G457" s="1434"/>
      <c r="H457" s="1434"/>
      <c r="I457" s="1434"/>
      <c r="J457" s="1434"/>
      <c r="K457" s="1434"/>
      <c r="L457" s="1434"/>
      <c r="M457" s="1434"/>
      <c r="N457" s="1434"/>
      <c r="O457" s="1434"/>
      <c r="P457" s="1434"/>
      <c r="Q457" s="1434"/>
      <c r="R457" s="1434"/>
      <c r="S457" s="1434"/>
      <c r="T457" s="1434"/>
      <c r="U457" s="1434"/>
      <c r="V457" s="1434"/>
      <c r="W457" s="1434"/>
      <c r="X457" s="1434"/>
      <c r="Y457" s="1434"/>
      <c r="Z457" s="1434"/>
      <c r="AA457" s="1434"/>
      <c r="AB457" s="143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4"/>
      <c r="G458" s="1434"/>
      <c r="H458" s="1434"/>
      <c r="I458" s="1434"/>
      <c r="J458" s="1434"/>
      <c r="K458" s="1434"/>
      <c r="L458" s="1434"/>
      <c r="M458" s="1434"/>
      <c r="N458" s="1434"/>
      <c r="O458" s="1434"/>
      <c r="P458" s="1434"/>
      <c r="Q458" s="1434"/>
      <c r="R458" s="1434"/>
      <c r="S458" s="1434"/>
      <c r="T458" s="1434"/>
      <c r="U458" s="1434"/>
      <c r="V458" s="1434"/>
      <c r="W458" s="1434"/>
      <c r="X458" s="1434"/>
      <c r="Y458" s="1434"/>
      <c r="Z458" s="1434"/>
      <c r="AA458" s="1434"/>
      <c r="AB458" s="143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0" t="s">
        <v>2414</v>
      </c>
      <c r="E465" s="1781"/>
      <c r="F465" s="1781"/>
      <c r="G465" s="1781"/>
      <c r="H465" s="1781"/>
      <c r="I465" s="1781"/>
      <c r="J465" s="1781"/>
      <c r="K465" s="1781"/>
      <c r="L465" s="1781"/>
      <c r="M465" s="1781"/>
      <c r="N465" s="1781"/>
      <c r="O465" s="1781"/>
      <c r="P465" s="1781"/>
      <c r="Q465" s="1781"/>
      <c r="R465" s="1781"/>
      <c r="S465" s="1781"/>
      <c r="T465" s="1781"/>
      <c r="U465" s="1781"/>
      <c r="V465" s="1782"/>
      <c r="W465" s="1695">
        <v>0</v>
      </c>
      <c r="X465" s="1696"/>
      <c r="Y465" s="169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5" t="s">
        <v>703</v>
      </c>
      <c r="E466" s="1781"/>
      <c r="F466" s="1781"/>
      <c r="G466" s="1781"/>
      <c r="H466" s="1781"/>
      <c r="I466" s="1781"/>
      <c r="J466" s="1781"/>
      <c r="K466" s="1781"/>
      <c r="L466" s="1781"/>
      <c r="M466" s="1781"/>
      <c r="N466" s="1781"/>
      <c r="O466" s="1781"/>
      <c r="P466" s="1781"/>
      <c r="Q466" s="1781"/>
      <c r="R466" s="1781"/>
      <c r="S466" s="1781"/>
      <c r="T466" s="1781"/>
      <c r="U466" s="1781"/>
      <c r="V466" s="1782"/>
      <c r="W466" s="1695">
        <v>0</v>
      </c>
      <c r="X466" s="1696"/>
      <c r="Y466" s="169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5" t="s">
        <v>704</v>
      </c>
      <c r="E467" s="1781"/>
      <c r="F467" s="1781"/>
      <c r="G467" s="1781"/>
      <c r="H467" s="1781"/>
      <c r="I467" s="1781"/>
      <c r="J467" s="1781"/>
      <c r="K467" s="1781"/>
      <c r="L467" s="1781"/>
      <c r="M467" s="1781"/>
      <c r="N467" s="1781"/>
      <c r="O467" s="1781"/>
      <c r="P467" s="1781"/>
      <c r="Q467" s="1781"/>
      <c r="R467" s="1781"/>
      <c r="S467" s="1781"/>
      <c r="T467" s="1781"/>
      <c r="U467" s="1781"/>
      <c r="V467" s="1782"/>
      <c r="W467" s="1695">
        <v>0</v>
      </c>
      <c r="X467" s="1696"/>
      <c r="Y467" s="169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5" t="s">
        <v>705</v>
      </c>
      <c r="E468" s="1781"/>
      <c r="F468" s="1781"/>
      <c r="G468" s="1781"/>
      <c r="H468" s="1781"/>
      <c r="I468" s="1781"/>
      <c r="J468" s="1781"/>
      <c r="K468" s="1781"/>
      <c r="L468" s="1781"/>
      <c r="M468" s="1781"/>
      <c r="N468" s="1781"/>
      <c r="O468" s="1781"/>
      <c r="P468" s="1781"/>
      <c r="Q468" s="1781"/>
      <c r="R468" s="1781"/>
      <c r="S468" s="1781"/>
      <c r="T468" s="1781"/>
      <c r="U468" s="1781"/>
      <c r="V468" s="1782"/>
      <c r="W468" s="1695">
        <v>0</v>
      </c>
      <c r="X468" s="1696"/>
      <c r="Y468" s="169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5" t="s">
        <v>894</v>
      </c>
      <c r="E469" s="1781"/>
      <c r="F469" s="1781"/>
      <c r="G469" s="1781"/>
      <c r="H469" s="1781"/>
      <c r="I469" s="1781"/>
      <c r="J469" s="1781"/>
      <c r="K469" s="1781"/>
      <c r="L469" s="1781"/>
      <c r="M469" s="1781"/>
      <c r="N469" s="1781"/>
      <c r="O469" s="1781"/>
      <c r="P469" s="1781"/>
      <c r="Q469" s="1781"/>
      <c r="R469" s="1781"/>
      <c r="S469" s="1781"/>
      <c r="T469" s="1781"/>
      <c r="U469" s="1781"/>
      <c r="V469" s="1782"/>
      <c r="W469" s="1695">
        <v>0</v>
      </c>
      <c r="X469" s="1696"/>
      <c r="Y469" s="169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5" t="s">
        <v>706</v>
      </c>
      <c r="E470" s="1781"/>
      <c r="F470" s="1781"/>
      <c r="G470" s="1781"/>
      <c r="H470" s="1781"/>
      <c r="I470" s="1781"/>
      <c r="J470" s="1781"/>
      <c r="K470" s="1781"/>
      <c r="L470" s="1781"/>
      <c r="M470" s="1781"/>
      <c r="N470" s="1781"/>
      <c r="O470" s="1781"/>
      <c r="P470" s="1781"/>
      <c r="Q470" s="1781"/>
      <c r="R470" s="1781"/>
      <c r="S470" s="1781"/>
      <c r="T470" s="1781"/>
      <c r="U470" s="1781"/>
      <c r="V470" s="1782"/>
      <c r="W470" s="1695">
        <v>0</v>
      </c>
      <c r="X470" s="1696"/>
      <c r="Y470" s="169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5" t="s">
        <v>1037</v>
      </c>
      <c r="E471" s="1781"/>
      <c r="F471" s="1781"/>
      <c r="G471" s="1781"/>
      <c r="H471" s="1781"/>
      <c r="I471" s="1781"/>
      <c r="J471" s="1781"/>
      <c r="K471" s="1781"/>
      <c r="L471" s="1781"/>
      <c r="M471" s="1781"/>
      <c r="N471" s="1781"/>
      <c r="O471" s="1781"/>
      <c r="P471" s="1781"/>
      <c r="Q471" s="1781"/>
      <c r="R471" s="1781"/>
      <c r="S471" s="1781"/>
      <c r="T471" s="1781"/>
      <c r="U471" s="1781"/>
      <c r="V471" s="1782"/>
      <c r="W471" s="1695">
        <v>0</v>
      </c>
      <c r="X471" s="1696"/>
      <c r="Y471" s="169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80" t="s">
        <v>2550</v>
      </c>
      <c r="E472" s="1874"/>
      <c r="F472" s="1874"/>
      <c r="G472" s="1874"/>
      <c r="H472" s="1874"/>
      <c r="I472" s="1874"/>
      <c r="J472" s="1874"/>
      <c r="K472" s="1874"/>
      <c r="L472" s="1874"/>
      <c r="M472" s="1874"/>
      <c r="N472" s="1874"/>
      <c r="O472" s="1874"/>
      <c r="P472" s="1874"/>
      <c r="Q472" s="1874"/>
      <c r="R472" s="1874"/>
      <c r="S472" s="1874"/>
      <c r="T472" s="1874"/>
      <c r="U472" s="1874"/>
      <c r="V472" s="1875"/>
      <c r="W472" s="1695">
        <v>0</v>
      </c>
      <c r="X472" s="1696"/>
      <c r="Y472" s="169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80" t="s">
        <v>1768</v>
      </c>
      <c r="E473" s="1781"/>
      <c r="F473" s="1781"/>
      <c r="G473" s="1781"/>
      <c r="H473" s="1781"/>
      <c r="I473" s="1781"/>
      <c r="J473" s="1781"/>
      <c r="K473" s="1781"/>
      <c r="L473" s="1781"/>
      <c r="M473" s="1781"/>
      <c r="N473" s="1781"/>
      <c r="O473" s="1781"/>
      <c r="P473" s="1781"/>
      <c r="Q473" s="1781"/>
      <c r="R473" s="1781"/>
      <c r="S473" s="1781"/>
      <c r="T473" s="1781"/>
      <c r="U473" s="1781"/>
      <c r="V473" s="1782"/>
      <c r="W473" s="1695">
        <v>0</v>
      </c>
      <c r="X473" s="1696"/>
      <c r="Y473" s="169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777"/>
      <c r="H474" s="1778"/>
      <c r="I474" s="1778"/>
      <c r="J474" s="1778"/>
      <c r="K474" s="1778"/>
      <c r="L474" s="1778"/>
      <c r="M474" s="1778"/>
      <c r="N474" s="1778"/>
      <c r="O474" s="1778"/>
      <c r="P474" s="1778"/>
      <c r="Q474" s="1778"/>
      <c r="R474" s="1778"/>
      <c r="S474" s="1778"/>
      <c r="T474" s="1778"/>
      <c r="U474" s="1778"/>
      <c r="V474" s="1779"/>
      <c r="W474" s="1695">
        <v>0</v>
      </c>
      <c r="X474" s="1696"/>
      <c r="Y474" s="169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6" t="s">
        <v>820</v>
      </c>
      <c r="B480" s="1466"/>
      <c r="C480" s="1466"/>
      <c r="D480" s="1466"/>
      <c r="E480" s="1466"/>
      <c r="F480" s="1466"/>
      <c r="G480" s="1466"/>
      <c r="H480" s="1466"/>
      <c r="I480" s="1466"/>
      <c r="J480" s="1466"/>
      <c r="K480" s="1466"/>
      <c r="L480" s="1466"/>
      <c r="M480" s="1466"/>
      <c r="N480" s="1466"/>
      <c r="O480" s="1466"/>
      <c r="P480" s="1466"/>
      <c r="Q480" s="1466"/>
      <c r="R480" s="1466"/>
      <c r="S480" s="1466"/>
      <c r="T480" s="1466"/>
      <c r="U480" s="1466"/>
      <c r="V480" s="1466"/>
      <c r="W480" s="1466"/>
      <c r="X480" s="1466"/>
      <c r="Y480" s="1466"/>
      <c r="Z480" s="1466"/>
      <c r="AA480" s="1466"/>
      <c r="AB480" s="1466"/>
      <c r="AC480" s="1466"/>
      <c r="AD480" s="1466"/>
      <c r="AE480" s="1466"/>
      <c r="AF480" s="1466"/>
      <c r="AG480" s="1466"/>
      <c r="AH480" s="1466"/>
      <c r="AI480" s="1466"/>
      <c r="AJ480" s="1466"/>
      <c r="AK480" s="1466"/>
      <c r="AL480" s="1466"/>
      <c r="AM480" s="1466"/>
      <c r="AN480" s="1466"/>
      <c r="AO480" s="1466"/>
      <c r="AP480" s="1466"/>
      <c r="AQ480" s="1466"/>
      <c r="AR480" s="1466"/>
      <c r="AS480" s="1466"/>
      <c r="AT480" s="146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6"/>
      <c r="B481" s="1466"/>
      <c r="C481" s="1466"/>
      <c r="D481" s="1466"/>
      <c r="E481" s="1466"/>
      <c r="F481" s="1466"/>
      <c r="G481" s="1466"/>
      <c r="H481" s="1466"/>
      <c r="I481" s="1466"/>
      <c r="J481" s="1466"/>
      <c r="K481" s="1466"/>
      <c r="L481" s="1466"/>
      <c r="M481" s="1466"/>
      <c r="N481" s="1466"/>
      <c r="O481" s="1466"/>
      <c r="P481" s="1466"/>
      <c r="Q481" s="1466"/>
      <c r="R481" s="1466"/>
      <c r="S481" s="1466"/>
      <c r="T481" s="1466"/>
      <c r="U481" s="1466"/>
      <c r="V481" s="1466"/>
      <c r="W481" s="1466"/>
      <c r="X481" s="1466"/>
      <c r="Y481" s="1466"/>
      <c r="Z481" s="1466"/>
      <c r="AA481" s="1466"/>
      <c r="AB481" s="1466"/>
      <c r="AC481" s="1466"/>
      <c r="AD481" s="1466"/>
      <c r="AE481" s="1466"/>
      <c r="AF481" s="1466"/>
      <c r="AG481" s="1466"/>
      <c r="AH481" s="1466"/>
      <c r="AI481" s="1466"/>
      <c r="AJ481" s="1466"/>
      <c r="AK481" s="1466"/>
      <c r="AL481" s="1466"/>
      <c r="AM481" s="1466"/>
      <c r="AN481" s="1466"/>
      <c r="AO481" s="1466"/>
      <c r="AP481" s="1466"/>
      <c r="AQ481" s="1466"/>
      <c r="AR481" s="1466"/>
      <c r="AS481" s="1466"/>
      <c r="AT481" s="146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3" t="s">
        <v>394</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0" t="s">
        <v>2710</v>
      </c>
      <c r="R486" s="1407"/>
      <c r="S486" s="1407"/>
      <c r="T486" s="1407"/>
      <c r="U486" s="1407"/>
      <c r="V486" s="1407"/>
      <c r="W486" s="1407"/>
      <c r="X486" s="1407"/>
      <c r="Y486" s="1407"/>
      <c r="Z486" s="1407"/>
      <c r="AA486" s="1407"/>
      <c r="AB486" s="1407"/>
      <c r="AC486" s="1407"/>
      <c r="AD486" s="1407"/>
      <c r="AE486" s="1407"/>
      <c r="AF486" s="1407"/>
      <c r="AG486" s="1407"/>
      <c r="AH486" s="1407"/>
      <c r="AI486" s="1407"/>
      <c r="AJ486" s="1407"/>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2503</v>
      </c>
      <c r="BW486" s="208"/>
      <c r="BX486" s="208"/>
      <c r="BY486" s="208"/>
      <c r="BZ486" s="208"/>
      <c r="CA486" s="208"/>
      <c r="CB486" s="208"/>
      <c r="CC486" s="3"/>
      <c r="CD486" s="207" t="s">
        <v>2502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0" t="s">
        <v>2711</v>
      </c>
      <c r="R487" s="1407"/>
      <c r="S487" s="1407"/>
      <c r="T487" s="1407"/>
      <c r="U487" s="1407"/>
      <c r="V487" s="1407"/>
      <c r="W487" s="1407"/>
      <c r="X487" s="1407"/>
      <c r="Y487" s="1407"/>
      <c r="Z487" s="1407"/>
      <c r="AA487" s="1407"/>
      <c r="AB487" s="1407"/>
      <c r="AC487" s="1407"/>
      <c r="AD487" s="1407"/>
      <c r="AE487" s="1407"/>
      <c r="AF487" s="1407"/>
      <c r="AG487" s="1407"/>
      <c r="AH487" s="1407"/>
      <c r="AI487" s="1407"/>
      <c r="AJ487" s="1407"/>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0" t="s">
        <v>2711</v>
      </c>
      <c r="R488" s="1407"/>
      <c r="S488" s="1407"/>
      <c r="T488" s="1407"/>
      <c r="U488" s="1407"/>
      <c r="V488" s="1407"/>
      <c r="W488" s="1407"/>
      <c r="X488" s="1407"/>
      <c r="Y488" s="1407"/>
      <c r="Z488" s="1407"/>
      <c r="AA488" s="1407"/>
      <c r="AB488" s="1407"/>
      <c r="AC488" s="1407"/>
      <c r="AD488" s="1407"/>
      <c r="AE488" s="1407"/>
      <c r="AF488" s="1407"/>
      <c r="AG488" s="1407"/>
      <c r="AH488" s="1407"/>
      <c r="AI488" s="1407"/>
      <c r="AJ488" s="1407"/>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9" t="s">
        <v>398</v>
      </c>
      <c r="C489" s="1860"/>
      <c r="D489" s="1860"/>
      <c r="E489" s="1860"/>
      <c r="F489" s="1860"/>
      <c r="G489" s="1860"/>
      <c r="H489" s="1860"/>
      <c r="I489" s="1860"/>
      <c r="J489" s="1860"/>
      <c r="K489" s="1860"/>
      <c r="L489" s="1860"/>
      <c r="M489" s="1860"/>
      <c r="N489" s="1860"/>
      <c r="O489" s="1860"/>
      <c r="P489" s="1861"/>
      <c r="Q489" s="1865" t="s">
        <v>678</v>
      </c>
      <c r="R489" s="1866"/>
      <c r="S489" s="1835" t="s">
        <v>166</v>
      </c>
      <c r="T489" s="1836"/>
      <c r="U489" s="1836"/>
      <c r="V489" s="1836"/>
      <c r="W489" s="1836"/>
      <c r="X489" s="1836"/>
      <c r="Y489" s="1836"/>
      <c r="Z489" s="1836"/>
      <c r="AA489" s="1836"/>
      <c r="AB489" s="1836"/>
      <c r="AC489" s="1836"/>
      <c r="AD489" s="1836"/>
      <c r="AE489" s="1836"/>
      <c r="AF489" s="1836"/>
      <c r="AG489" s="1836"/>
      <c r="AH489" s="1836"/>
      <c r="AI489" s="1836"/>
      <c r="AJ489" s="1836"/>
      <c r="AK489" s="183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2"/>
      <c r="C490" s="1863"/>
      <c r="D490" s="1863"/>
      <c r="E490" s="1863"/>
      <c r="F490" s="1863"/>
      <c r="G490" s="1863"/>
      <c r="H490" s="1863"/>
      <c r="I490" s="1863"/>
      <c r="J490" s="1863"/>
      <c r="K490" s="1863"/>
      <c r="L490" s="1863"/>
      <c r="M490" s="1863"/>
      <c r="N490" s="1863"/>
      <c r="O490" s="1863"/>
      <c r="P490" s="1864"/>
      <c r="Q490" s="1867"/>
      <c r="R490" s="1868"/>
      <c r="S490" s="1838"/>
      <c r="T490" s="1811"/>
      <c r="U490" s="1811"/>
      <c r="V490" s="1811"/>
      <c r="W490" s="1811"/>
      <c r="X490" s="1811"/>
      <c r="Y490" s="1811"/>
      <c r="Z490" s="1811"/>
      <c r="AA490" s="1811"/>
      <c r="AB490" s="1811"/>
      <c r="AC490" s="1811"/>
      <c r="AD490" s="1811"/>
      <c r="AE490" s="1811"/>
      <c r="AF490" s="1811"/>
      <c r="AG490" s="1811"/>
      <c r="AH490" s="1811"/>
      <c r="AI490" s="1811"/>
      <c r="AJ490" s="1811"/>
      <c r="AK490" s="183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71" t="s">
        <v>678</v>
      </c>
      <c r="R491" s="1872"/>
      <c r="S491" s="1872"/>
      <c r="T491" s="1872"/>
      <c r="U491" s="1872"/>
      <c r="V491" s="1872"/>
      <c r="W491" s="1872"/>
      <c r="X491" s="1872"/>
      <c r="Y491" s="1872"/>
      <c r="Z491" s="1872"/>
      <c r="AA491" s="1872"/>
      <c r="AB491" s="1872"/>
      <c r="AC491" s="1872"/>
      <c r="AD491" s="1872"/>
      <c r="AE491" s="1872"/>
      <c r="AF491" s="1872"/>
      <c r="AG491" s="1872"/>
      <c r="AH491" s="1872"/>
      <c r="AI491" s="1872"/>
      <c r="AJ491" s="1872"/>
      <c r="AK491" s="187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0" t="s">
        <v>2712</v>
      </c>
      <c r="R492" s="1407"/>
      <c r="S492" s="1407"/>
      <c r="T492" s="1407"/>
      <c r="U492" s="1407"/>
      <c r="V492" s="1407"/>
      <c r="W492" s="1407"/>
      <c r="X492" s="1407"/>
      <c r="Y492" s="1407"/>
      <c r="Z492" s="1407"/>
      <c r="AA492" s="1407"/>
      <c r="AB492" s="1407"/>
      <c r="AC492" s="1407"/>
      <c r="AD492" s="1407"/>
      <c r="AE492" s="1407"/>
      <c r="AF492" s="1407"/>
      <c r="AG492" s="1407"/>
      <c r="AH492" s="1407"/>
      <c r="AI492" s="1407"/>
      <c r="AJ492" s="1407"/>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0" t="s">
        <v>2713</v>
      </c>
      <c r="R493" s="1407"/>
      <c r="S493" s="1407"/>
      <c r="T493" s="1407"/>
      <c r="U493" s="1407"/>
      <c r="V493" s="1407"/>
      <c r="W493" s="1407"/>
      <c r="X493" s="1407"/>
      <c r="Y493" s="1407"/>
      <c r="Z493" s="1407"/>
      <c r="AA493" s="1407"/>
      <c r="AB493" s="1407"/>
      <c r="AC493" s="1407"/>
      <c r="AD493" s="1407"/>
      <c r="AE493" s="1407"/>
      <c r="AF493" s="1407"/>
      <c r="AG493" s="1407"/>
      <c r="AH493" s="1407"/>
      <c r="AI493" s="1407"/>
      <c r="AJ493" s="1407"/>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700">
        <v>228</v>
      </c>
      <c r="R494" s="1407"/>
      <c r="S494" s="1407"/>
      <c r="T494" s="1407"/>
      <c r="U494" s="1407"/>
      <c r="V494" s="1407"/>
      <c r="W494" s="1407"/>
      <c r="X494" s="1407"/>
      <c r="Y494" s="1407"/>
      <c r="Z494" s="1407"/>
      <c r="AA494" s="1407"/>
      <c r="AB494" s="1407"/>
      <c r="AC494" s="1407"/>
      <c r="AD494" s="1407"/>
      <c r="AE494" s="1407"/>
      <c r="AF494" s="1407"/>
      <c r="AG494" s="1407"/>
      <c r="AH494" s="1407"/>
      <c r="AI494" s="1407"/>
      <c r="AJ494" s="1407"/>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52"/>
      <c r="N495" s="1453"/>
      <c r="O495" s="1453"/>
      <c r="P495" s="1454"/>
      <c r="Q495" s="121" t="s">
        <v>1785</v>
      </c>
      <c r="R495" s="5"/>
      <c r="S495" s="5"/>
      <c r="T495" s="5"/>
      <c r="U495" s="5"/>
      <c r="V495" s="5"/>
      <c r="W495" s="5"/>
      <c r="X495" s="5"/>
      <c r="Y495" s="5"/>
      <c r="Z495" s="5"/>
      <c r="AA495" s="5"/>
      <c r="AB495" s="5"/>
      <c r="AC495" s="5"/>
      <c r="AD495" s="5"/>
      <c r="AE495" s="5"/>
      <c r="AF495" s="5"/>
      <c r="AG495" s="5"/>
      <c r="AH495" s="1452">
        <v>228</v>
      </c>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3" t="s">
        <v>402</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3" t="s">
        <v>403</v>
      </c>
      <c r="AD500" s="1704"/>
      <c r="AE500" s="1704"/>
      <c r="AF500" s="1704"/>
      <c r="AG500" s="50" t="s">
        <v>404</v>
      </c>
      <c r="AH500" s="1704" t="s">
        <v>405</v>
      </c>
      <c r="AI500" s="1704"/>
      <c r="AJ500" s="1704"/>
      <c r="AK500" s="170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3" t="s">
        <v>406</v>
      </c>
      <c r="C501" s="1499"/>
      <c r="D501" s="1499"/>
      <c r="E501" s="1499"/>
      <c r="F501" s="1499"/>
      <c r="G501" s="1499"/>
      <c r="H501" s="1500"/>
      <c r="I501" s="42" t="s">
        <v>407</v>
      </c>
      <c r="J501" s="42"/>
      <c r="K501" s="42"/>
      <c r="L501" s="42"/>
      <c r="M501" s="42"/>
      <c r="N501" s="42"/>
      <c r="O501" s="42"/>
      <c r="P501" s="42"/>
      <c r="Q501" s="42"/>
      <c r="R501" s="42"/>
      <c r="S501" s="42"/>
      <c r="T501" s="42"/>
      <c r="U501" s="42"/>
      <c r="V501" s="42"/>
      <c r="W501" s="42"/>
      <c r="AC501" s="1632">
        <v>5</v>
      </c>
      <c r="AD501" s="1404"/>
      <c r="AE501" s="1404"/>
      <c r="AF501" s="1404"/>
      <c r="AG501" s="13" t="s">
        <v>404</v>
      </c>
      <c r="AH501" s="1436">
        <v>2024</v>
      </c>
      <c r="AI501" s="1436"/>
      <c r="AJ501" s="1436"/>
      <c r="AK501" s="143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4"/>
      <c r="C502" s="1501"/>
      <c r="D502" s="1501"/>
      <c r="E502" s="1501"/>
      <c r="F502" s="1501"/>
      <c r="G502" s="1501"/>
      <c r="H502" s="1502"/>
      <c r="I502" s="48" t="s">
        <v>408</v>
      </c>
      <c r="J502" s="48"/>
      <c r="K502" s="48"/>
      <c r="L502" s="48"/>
      <c r="M502" s="48"/>
      <c r="N502" s="48"/>
      <c r="O502" s="48"/>
      <c r="P502" s="48"/>
      <c r="Q502" s="48"/>
      <c r="R502" s="48"/>
      <c r="S502" s="48"/>
      <c r="T502" s="48"/>
      <c r="U502" s="48"/>
      <c r="V502" s="48"/>
      <c r="W502" s="48"/>
      <c r="X502" s="48"/>
      <c r="Y502" s="48"/>
      <c r="Z502" s="48"/>
      <c r="AA502" s="48"/>
      <c r="AB502" s="48"/>
      <c r="AC502" s="1632">
        <v>2</v>
      </c>
      <c r="AD502" s="1404"/>
      <c r="AE502" s="1404"/>
      <c r="AF502" s="1404"/>
      <c r="AG502" s="38" t="s">
        <v>404</v>
      </c>
      <c r="AH502" s="1436">
        <v>2025</v>
      </c>
      <c r="AI502" s="1436"/>
      <c r="AJ502" s="1436"/>
      <c r="AK502" s="143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3" t="s">
        <v>409</v>
      </c>
      <c r="C503" s="1499"/>
      <c r="D503" s="1499"/>
      <c r="E503" s="1499"/>
      <c r="F503" s="1499"/>
      <c r="G503" s="1499"/>
      <c r="H503" s="1500"/>
      <c r="I503" s="42" t="s">
        <v>410</v>
      </c>
      <c r="J503" s="42"/>
      <c r="K503" s="42"/>
      <c r="L503" s="42"/>
      <c r="M503" s="42"/>
      <c r="N503" s="42"/>
      <c r="O503" s="42"/>
      <c r="P503" s="42"/>
      <c r="Q503" s="42"/>
      <c r="R503" s="42"/>
      <c r="S503" s="42"/>
      <c r="T503" s="42"/>
      <c r="U503" s="42"/>
      <c r="V503" s="42"/>
      <c r="W503" s="42"/>
      <c r="AC503" s="1632" t="s">
        <v>600</v>
      </c>
      <c r="AD503" s="1404"/>
      <c r="AE503" s="1404"/>
      <c r="AF503" s="1404"/>
      <c r="AG503" s="13" t="s">
        <v>404</v>
      </c>
      <c r="AH503" s="1436"/>
      <c r="AI503" s="1436"/>
      <c r="AJ503" s="1436"/>
      <c r="AK503" s="143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4"/>
      <c r="C504" s="1501"/>
      <c r="D504" s="1501"/>
      <c r="E504" s="1501"/>
      <c r="F504" s="1501"/>
      <c r="G504" s="1501"/>
      <c r="H504" s="1502"/>
      <c r="I504" t="s">
        <v>411</v>
      </c>
      <c r="AC504" s="1632" t="s">
        <v>600</v>
      </c>
      <c r="AD504" s="1404"/>
      <c r="AE504" s="1404"/>
      <c r="AF504" s="1404"/>
      <c r="AG504" s="13" t="s">
        <v>404</v>
      </c>
      <c r="AH504" s="1436"/>
      <c r="AI504" s="1436"/>
      <c r="AJ504" s="1436"/>
      <c r="AK504" s="143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4"/>
      <c r="C505" s="1501"/>
      <c r="D505" s="1501"/>
      <c r="E505" s="1501"/>
      <c r="F505" s="1501"/>
      <c r="G505" s="1501"/>
      <c r="H505" s="1502"/>
      <c r="I505" t="s">
        <v>412</v>
      </c>
      <c r="AC505" s="1632">
        <v>4</v>
      </c>
      <c r="AD505" s="1404"/>
      <c r="AE505" s="1404"/>
      <c r="AF505" s="1404"/>
      <c r="AG505" s="13" t="s">
        <v>404</v>
      </c>
      <c r="AH505" s="1436">
        <v>2024</v>
      </c>
      <c r="AI505" s="1436"/>
      <c r="AJ505" s="1436"/>
      <c r="AK505" s="143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4"/>
      <c r="C506" s="1501"/>
      <c r="D506" s="1501"/>
      <c r="E506" s="1501"/>
      <c r="F506" s="1501"/>
      <c r="G506" s="1501"/>
      <c r="H506" s="1502"/>
      <c r="I506" t="s">
        <v>413</v>
      </c>
      <c r="AC506" s="1632">
        <v>1</v>
      </c>
      <c r="AD506" s="1404"/>
      <c r="AE506" s="1404"/>
      <c r="AF506" s="1404"/>
      <c r="AG506" s="13" t="s">
        <v>404</v>
      </c>
      <c r="AH506" s="1436">
        <v>2025</v>
      </c>
      <c r="AI506" s="1436"/>
      <c r="AJ506" s="1436"/>
      <c r="AK506" s="143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4"/>
      <c r="C507" s="1501"/>
      <c r="D507" s="1501"/>
      <c r="E507" s="1501"/>
      <c r="F507" s="1501"/>
      <c r="G507" s="1501"/>
      <c r="H507" s="1502"/>
      <c r="I507" s="3" t="s">
        <v>414</v>
      </c>
      <c r="AC507" s="1393">
        <v>1</v>
      </c>
      <c r="AD507" s="1394"/>
      <c r="AE507" s="1394"/>
      <c r="AF507" s="1394"/>
      <c r="AG507" s="13" t="s">
        <v>404</v>
      </c>
      <c r="AH507" s="1436">
        <v>2025</v>
      </c>
      <c r="AI507" s="1436"/>
      <c r="AJ507" s="1436"/>
      <c r="AK507" s="143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4"/>
      <c r="C508" s="1501"/>
      <c r="D508" s="1501"/>
      <c r="E508" s="1501"/>
      <c r="F508" s="1501"/>
      <c r="G508" s="1501"/>
      <c r="H508" s="1502"/>
      <c r="I508" s="931" t="s">
        <v>170</v>
      </c>
      <c r="J508" s="48"/>
      <c r="K508" s="48"/>
      <c r="L508" s="1787" t="s">
        <v>335</v>
      </c>
      <c r="M508" s="1788"/>
      <c r="N508" s="1788"/>
      <c r="O508" s="1788"/>
      <c r="P508" s="1788"/>
      <c r="Q508" s="1788"/>
      <c r="R508" s="1788"/>
      <c r="S508" s="1788"/>
      <c r="T508" s="1788"/>
      <c r="U508" s="1788"/>
      <c r="V508" s="1788"/>
      <c r="W508" s="1788"/>
      <c r="X508" s="1788"/>
      <c r="Y508" s="1788"/>
      <c r="Z508" s="1788"/>
      <c r="AA508" s="1788"/>
      <c r="AB508" s="1841"/>
      <c r="AC508" s="1632" t="s">
        <v>600</v>
      </c>
      <c r="AD508" s="1404"/>
      <c r="AE508" s="1404"/>
      <c r="AF508" s="1404"/>
      <c r="AG508" s="38" t="s">
        <v>404</v>
      </c>
      <c r="AH508" s="1436"/>
      <c r="AI508" s="1436"/>
      <c r="AJ508" s="1436"/>
      <c r="AK508" s="143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776" t="s">
        <v>1291</v>
      </c>
      <c r="AD509" s="1776"/>
      <c r="AE509" s="1776"/>
      <c r="AF509" s="1776"/>
      <c r="AG509" s="13"/>
      <c r="AH509" s="1303"/>
      <c r="AI509" s="1303"/>
      <c r="AJ509" s="1303"/>
      <c r="AK509" s="184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93"/>
      <c r="AD510" s="1394"/>
      <c r="AE510" s="1394"/>
      <c r="AF510" s="1395"/>
      <c r="AG510" s="13"/>
      <c r="AH510" s="1303"/>
      <c r="AI510" s="1303"/>
      <c r="AJ510" s="1303"/>
      <c r="AK510" s="184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45"/>
      <c r="AD512" s="1846"/>
      <c r="AE512" s="1846"/>
      <c r="AF512" s="1847"/>
      <c r="AG512" s="38"/>
      <c r="AH512" s="1848"/>
      <c r="AI512" s="1848"/>
      <c r="AJ512" s="1848"/>
      <c r="AK512" s="184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43" t="s">
        <v>403</v>
      </c>
      <c r="AD513" s="1722"/>
      <c r="AE513" s="1722"/>
      <c r="AF513" s="1722"/>
      <c r="AG513" s="38" t="s">
        <v>404</v>
      </c>
      <c r="AH513" s="1722" t="s">
        <v>405</v>
      </c>
      <c r="AI513" s="1722"/>
      <c r="AJ513" s="1722"/>
      <c r="AK513" s="1844"/>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3" t="s">
        <v>415</v>
      </c>
      <c r="C514" s="1499"/>
      <c r="D514" s="1499"/>
      <c r="E514" s="1499"/>
      <c r="F514" s="1499"/>
      <c r="G514" s="1499"/>
      <c r="H514" s="1500"/>
      <c r="I514" s="42" t="s">
        <v>416</v>
      </c>
      <c r="J514" s="42"/>
      <c r="K514" s="42"/>
      <c r="L514" s="42"/>
      <c r="M514" s="42"/>
      <c r="N514" s="42"/>
      <c r="O514" s="42"/>
      <c r="P514" s="42"/>
      <c r="Q514" s="42"/>
      <c r="R514" s="42"/>
      <c r="S514" s="42"/>
      <c r="T514" s="42"/>
      <c r="U514" s="42"/>
      <c r="V514" s="42"/>
      <c r="W514" s="42"/>
      <c r="AC514" s="1632">
        <v>4</v>
      </c>
      <c r="AD514" s="1404"/>
      <c r="AE514" s="1404"/>
      <c r="AF514" s="1404"/>
      <c r="AG514" s="13" t="s">
        <v>404</v>
      </c>
      <c r="AH514" s="1436">
        <v>2024</v>
      </c>
      <c r="AI514" s="1436"/>
      <c r="AJ514" s="1436"/>
      <c r="AK514" s="1437"/>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4"/>
      <c r="C515" s="1501"/>
      <c r="D515" s="1501"/>
      <c r="E515" s="1501"/>
      <c r="F515" s="1501"/>
      <c r="G515" s="1501"/>
      <c r="H515" s="1502"/>
      <c r="I515" t="s">
        <v>417</v>
      </c>
      <c r="AC515" s="1632">
        <v>4</v>
      </c>
      <c r="AD515" s="1404"/>
      <c r="AE515" s="1404"/>
      <c r="AF515" s="1404"/>
      <c r="AG515" s="13" t="s">
        <v>404</v>
      </c>
      <c r="AH515" s="1436">
        <v>2024</v>
      </c>
      <c r="AI515" s="1436"/>
      <c r="AJ515" s="1436"/>
      <c r="AK515" s="1437"/>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4"/>
      <c r="C516" s="1501"/>
      <c r="D516" s="1501"/>
      <c r="E516" s="1501"/>
      <c r="F516" s="1501"/>
      <c r="G516" s="1501"/>
      <c r="H516" s="1502"/>
      <c r="I516" s="48" t="s">
        <v>418</v>
      </c>
      <c r="J516" s="48"/>
      <c r="K516" s="48"/>
      <c r="L516" s="48"/>
      <c r="M516" s="48"/>
      <c r="N516" s="48"/>
      <c r="O516" s="48"/>
      <c r="P516" s="48"/>
      <c r="Q516" s="48"/>
      <c r="R516" s="48"/>
      <c r="S516" s="48"/>
      <c r="T516" s="48"/>
      <c r="U516" s="48"/>
      <c r="V516" s="48"/>
      <c r="W516" s="48"/>
      <c r="X516" s="48"/>
      <c r="Y516" s="48"/>
      <c r="Z516" s="48"/>
      <c r="AA516" s="48"/>
      <c r="AB516" s="48"/>
      <c r="AC516" s="1632">
        <v>2</v>
      </c>
      <c r="AD516" s="1404"/>
      <c r="AE516" s="1404"/>
      <c r="AF516" s="1404"/>
      <c r="AG516" s="38" t="s">
        <v>404</v>
      </c>
      <c r="AH516" s="1436">
        <v>2025</v>
      </c>
      <c r="AI516" s="1436"/>
      <c r="AJ516" s="1436"/>
      <c r="AK516" s="1437"/>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3" t="s">
        <v>419</v>
      </c>
      <c r="C517" s="1499"/>
      <c r="D517" s="1499"/>
      <c r="E517" s="1499"/>
      <c r="F517" s="1499"/>
      <c r="G517" s="1499"/>
      <c r="H517" s="1500"/>
      <c r="I517" s="42" t="s">
        <v>416</v>
      </c>
      <c r="J517" s="42"/>
      <c r="K517" s="42"/>
      <c r="L517" s="42"/>
      <c r="M517" s="42"/>
      <c r="N517" s="42"/>
      <c r="O517" s="42"/>
      <c r="P517" s="42"/>
      <c r="Q517" s="42"/>
      <c r="R517" s="42"/>
      <c r="S517" s="42"/>
      <c r="T517" s="42"/>
      <c r="U517" s="42"/>
      <c r="V517" s="42"/>
      <c r="W517" s="42"/>
      <c r="X517" s="42"/>
      <c r="Y517" s="42"/>
      <c r="Z517" s="42"/>
      <c r="AA517" s="42"/>
      <c r="AB517" s="42"/>
      <c r="AC517" s="1393">
        <v>2</v>
      </c>
      <c r="AD517" s="1394"/>
      <c r="AE517" s="1394"/>
      <c r="AF517" s="1394"/>
      <c r="AG517" s="129" t="s">
        <v>404</v>
      </c>
      <c r="AH517" s="1436">
        <v>2024</v>
      </c>
      <c r="AI517" s="1436"/>
      <c r="AJ517" s="1436"/>
      <c r="AK517" s="1437"/>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4"/>
      <c r="C518" s="1501"/>
      <c r="D518" s="1501"/>
      <c r="E518" s="1501"/>
      <c r="F518" s="1501"/>
      <c r="G518" s="1501"/>
      <c r="H518" s="1502"/>
      <c r="I518" t="s">
        <v>417</v>
      </c>
      <c r="AC518" s="1632">
        <v>3</v>
      </c>
      <c r="AD518" s="1404"/>
      <c r="AE518" s="1404"/>
      <c r="AF518" s="1404"/>
      <c r="AG518" s="13" t="s">
        <v>404</v>
      </c>
      <c r="AH518" s="1436">
        <v>2024</v>
      </c>
      <c r="AI518" s="1436"/>
      <c r="AJ518" s="1436"/>
      <c r="AK518" s="1437"/>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5"/>
      <c r="C519" s="1503"/>
      <c r="D519" s="1503"/>
      <c r="E519" s="1503"/>
      <c r="F519" s="1503"/>
      <c r="G519" s="1503"/>
      <c r="H519" s="1504"/>
      <c r="I519" s="48" t="s">
        <v>418</v>
      </c>
      <c r="J519" s="48"/>
      <c r="K519" s="48"/>
      <c r="L519" s="48"/>
      <c r="M519" s="48"/>
      <c r="N519" s="48"/>
      <c r="O519" s="48"/>
      <c r="P519" s="48"/>
      <c r="Q519" s="48"/>
      <c r="R519" s="48"/>
      <c r="S519" s="48"/>
      <c r="T519" s="48"/>
      <c r="U519" s="48"/>
      <c r="V519" s="48"/>
      <c r="W519" s="48"/>
      <c r="X519" s="48"/>
      <c r="Y519" s="48"/>
      <c r="Z519" s="48"/>
      <c r="AA519" s="48"/>
      <c r="AB519" s="48"/>
      <c r="AC519" s="1632">
        <v>12</v>
      </c>
      <c r="AD519" s="1404"/>
      <c r="AE519" s="1404"/>
      <c r="AF519" s="1404"/>
      <c r="AG519" s="38" t="s">
        <v>404</v>
      </c>
      <c r="AH519" s="1436">
        <v>2027</v>
      </c>
      <c r="AI519" s="1436"/>
      <c r="AJ519" s="1436"/>
      <c r="AK519" s="1437"/>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3" t="s">
        <v>420</v>
      </c>
      <c r="C520" s="1499"/>
      <c r="D520" s="1499"/>
      <c r="E520" s="1499"/>
      <c r="F520" s="1499"/>
      <c r="G520" s="1499"/>
      <c r="H520" s="1500"/>
      <c r="I520" s="41" t="s">
        <v>421</v>
      </c>
      <c r="J520" s="42"/>
      <c r="K520" s="42"/>
      <c r="L520" s="42"/>
      <c r="M520" s="42"/>
      <c r="N520" s="42"/>
      <c r="O520" s="1787" t="s">
        <v>335</v>
      </c>
      <c r="P520" s="1788"/>
      <c r="Q520" s="1788"/>
      <c r="R520" s="1788"/>
      <c r="S520" s="1788"/>
      <c r="T520" s="1788"/>
      <c r="U520" s="1788"/>
      <c r="V520" s="1788"/>
      <c r="W520" s="1788"/>
      <c r="X520" s="1788"/>
      <c r="Y520" s="1788"/>
      <c r="Z520" s="1788"/>
      <c r="AA520" s="1788"/>
      <c r="AB520" s="58"/>
      <c r="AC520" s="1393" t="s">
        <v>600</v>
      </c>
      <c r="AD520" s="1394"/>
      <c r="AE520" s="1394"/>
      <c r="AF520" s="1394"/>
      <c r="AG520" s="129" t="s">
        <v>404</v>
      </c>
      <c r="AH520" s="1436"/>
      <c r="AI520" s="1436"/>
      <c r="AJ520" s="1436"/>
      <c r="AK520" s="1437"/>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4"/>
      <c r="C521" s="1501"/>
      <c r="D521" s="1501"/>
      <c r="E521" s="1501"/>
      <c r="F521" s="1501"/>
      <c r="G521" s="1501"/>
      <c r="H521" s="1502"/>
      <c r="I521" s="114" t="s">
        <v>422</v>
      </c>
      <c r="AB521" s="65"/>
      <c r="AC521" s="1632" t="s">
        <v>600</v>
      </c>
      <c r="AD521" s="1404"/>
      <c r="AE521" s="1404"/>
      <c r="AF521" s="1404"/>
      <c r="AG521" s="13" t="s">
        <v>404</v>
      </c>
      <c r="AH521" s="1436"/>
      <c r="AI521" s="1436"/>
      <c r="AJ521" s="1436"/>
      <c r="AK521" s="1437"/>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4"/>
      <c r="C522" s="1501"/>
      <c r="D522" s="1501"/>
      <c r="E522" s="1501"/>
      <c r="F522" s="1501"/>
      <c r="G522" s="1501"/>
      <c r="H522" s="1502"/>
      <c r="I522" s="47" t="s">
        <v>423</v>
      </c>
      <c r="J522" s="48"/>
      <c r="K522" s="48"/>
      <c r="L522" s="48"/>
      <c r="M522" s="48"/>
      <c r="N522" s="48"/>
      <c r="O522" s="48"/>
      <c r="P522" s="48"/>
      <c r="Q522" s="48"/>
      <c r="R522" s="48"/>
      <c r="S522" s="48"/>
      <c r="T522" s="48"/>
      <c r="U522" s="48"/>
      <c r="V522" s="48"/>
      <c r="W522" s="48"/>
      <c r="X522" s="48"/>
      <c r="Y522" s="48"/>
      <c r="Z522" s="48"/>
      <c r="AA522" s="48"/>
      <c r="AB522" s="49"/>
      <c r="AC522" s="1632" t="s">
        <v>600</v>
      </c>
      <c r="AD522" s="1404"/>
      <c r="AE522" s="1404"/>
      <c r="AF522" s="1404"/>
      <c r="AG522" s="38" t="s">
        <v>404</v>
      </c>
      <c r="AH522" s="1436"/>
      <c r="AI522" s="1436"/>
      <c r="AJ522" s="1436"/>
      <c r="AK522" s="1437"/>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4"/>
      <c r="C523" s="1501"/>
      <c r="D523" s="1501"/>
      <c r="E523" s="1501"/>
      <c r="F523" s="1501"/>
      <c r="G523" s="1501"/>
      <c r="H523" s="1502"/>
      <c r="I523" s="42" t="s">
        <v>424</v>
      </c>
      <c r="J523" s="42"/>
      <c r="K523" s="42"/>
      <c r="L523" s="42"/>
      <c r="M523" s="42"/>
      <c r="N523" s="42"/>
      <c r="O523" s="1787" t="s">
        <v>335</v>
      </c>
      <c r="P523" s="1788"/>
      <c r="Q523" s="1788"/>
      <c r="R523" s="1788"/>
      <c r="S523" s="1788"/>
      <c r="T523" s="1788"/>
      <c r="U523" s="1788"/>
      <c r="V523" s="1788"/>
      <c r="W523" s="1788"/>
      <c r="X523" s="1788"/>
      <c r="Y523" s="1788"/>
      <c r="Z523" s="1788"/>
      <c r="AA523" s="1788"/>
      <c r="AC523" s="1632" t="s">
        <v>600</v>
      </c>
      <c r="AD523" s="1404"/>
      <c r="AE523" s="1404"/>
      <c r="AF523" s="1404"/>
      <c r="AG523" s="13" t="s">
        <v>404</v>
      </c>
      <c r="AH523" s="1436"/>
      <c r="AI523" s="1436"/>
      <c r="AJ523" s="1436"/>
      <c r="AK523" s="1437"/>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4"/>
      <c r="C524" s="1501"/>
      <c r="D524" s="1501"/>
      <c r="E524" s="1501"/>
      <c r="F524" s="1501"/>
      <c r="G524" s="1501"/>
      <c r="H524" s="1502"/>
      <c r="I524" t="s">
        <v>422</v>
      </c>
      <c r="AC524" s="1632" t="s">
        <v>600</v>
      </c>
      <c r="AD524" s="1404"/>
      <c r="AE524" s="1404"/>
      <c r="AF524" s="1404"/>
      <c r="AG524" s="13" t="s">
        <v>404</v>
      </c>
      <c r="AH524" s="1436"/>
      <c r="AI524" s="1436"/>
      <c r="AJ524" s="1436"/>
      <c r="AK524" s="1437"/>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4"/>
      <c r="C525" s="1501"/>
      <c r="D525" s="1501"/>
      <c r="E525" s="1501"/>
      <c r="F525" s="1501"/>
      <c r="G525" s="1501"/>
      <c r="H525" s="1502"/>
      <c r="I525" s="48" t="s">
        <v>423</v>
      </c>
      <c r="J525" s="48"/>
      <c r="K525" s="48"/>
      <c r="L525" s="48"/>
      <c r="M525" s="48"/>
      <c r="N525" s="48"/>
      <c r="O525" s="48"/>
      <c r="P525" s="48"/>
      <c r="Q525" s="48"/>
      <c r="R525" s="48"/>
      <c r="S525" s="48"/>
      <c r="T525" s="48"/>
      <c r="U525" s="48"/>
      <c r="V525" s="48"/>
      <c r="W525" s="48"/>
      <c r="X525" s="48"/>
      <c r="Y525" s="48"/>
      <c r="Z525" s="48"/>
      <c r="AA525" s="48"/>
      <c r="AB525" s="48"/>
      <c r="AC525" s="1632" t="s">
        <v>600</v>
      </c>
      <c r="AD525" s="1404"/>
      <c r="AE525" s="1404"/>
      <c r="AF525" s="1404"/>
      <c r="AG525" s="38" t="s">
        <v>404</v>
      </c>
      <c r="AH525" s="1436"/>
      <c r="AI525" s="1436"/>
      <c r="AJ525" s="1436"/>
      <c r="AK525" s="1437"/>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4"/>
      <c r="C526" s="1501"/>
      <c r="D526" s="1501"/>
      <c r="E526" s="1501"/>
      <c r="F526" s="1501"/>
      <c r="G526" s="1501"/>
      <c r="H526" s="1502"/>
      <c r="I526" s="42" t="s">
        <v>424</v>
      </c>
      <c r="J526" s="42"/>
      <c r="K526" s="42"/>
      <c r="L526" s="42"/>
      <c r="M526" s="42"/>
      <c r="N526" s="42"/>
      <c r="O526" s="1787" t="s">
        <v>335</v>
      </c>
      <c r="P526" s="1788"/>
      <c r="Q526" s="1788"/>
      <c r="R526" s="1788"/>
      <c r="S526" s="1788"/>
      <c r="T526" s="1788"/>
      <c r="U526" s="1788"/>
      <c r="V526" s="1788"/>
      <c r="W526" s="1788"/>
      <c r="X526" s="1788"/>
      <c r="Y526" s="1788"/>
      <c r="Z526" s="1788"/>
      <c r="AA526" s="1788"/>
      <c r="AC526" s="1632" t="s">
        <v>600</v>
      </c>
      <c r="AD526" s="1404"/>
      <c r="AE526" s="1404"/>
      <c r="AF526" s="1404"/>
      <c r="AG526" s="13" t="s">
        <v>404</v>
      </c>
      <c r="AH526" s="1436"/>
      <c r="AI526" s="1436"/>
      <c r="AJ526" s="1436"/>
      <c r="AK526" s="1437"/>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4"/>
      <c r="C527" s="1501"/>
      <c r="D527" s="1501"/>
      <c r="E527" s="1501"/>
      <c r="F527" s="1501"/>
      <c r="G527" s="1501"/>
      <c r="H527" s="1502"/>
      <c r="I527" t="s">
        <v>422</v>
      </c>
      <c r="AC527" s="1632" t="s">
        <v>600</v>
      </c>
      <c r="AD527" s="1404"/>
      <c r="AE527" s="1404"/>
      <c r="AF527" s="1404"/>
      <c r="AG527" s="13" t="s">
        <v>404</v>
      </c>
      <c r="AH527" s="1436"/>
      <c r="AI527" s="1436"/>
      <c r="AJ527" s="1436"/>
      <c r="AK527" s="1437"/>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4"/>
      <c r="C528" s="1501"/>
      <c r="D528" s="1501"/>
      <c r="E528" s="1501"/>
      <c r="F528" s="1501"/>
      <c r="G528" s="1501"/>
      <c r="H528" s="1502"/>
      <c r="I528" s="48" t="s">
        <v>423</v>
      </c>
      <c r="J528" s="48"/>
      <c r="K528" s="48"/>
      <c r="L528" s="48"/>
      <c r="M528" s="48"/>
      <c r="N528" s="48"/>
      <c r="O528" s="48"/>
      <c r="P528" s="48"/>
      <c r="Q528" s="48"/>
      <c r="R528" s="48"/>
      <c r="S528" s="48"/>
      <c r="T528" s="48"/>
      <c r="U528" s="48"/>
      <c r="V528" s="48"/>
      <c r="W528" s="48"/>
      <c r="X528" s="48"/>
      <c r="Y528" s="48"/>
      <c r="Z528" s="48"/>
      <c r="AA528" s="48"/>
      <c r="AB528" s="48"/>
      <c r="AC528" s="1632" t="s">
        <v>600</v>
      </c>
      <c r="AD528" s="1404"/>
      <c r="AE528" s="1404"/>
      <c r="AF528" s="1404"/>
      <c r="AG528" s="38" t="s">
        <v>404</v>
      </c>
      <c r="AH528" s="1436"/>
      <c r="AI528" s="1436"/>
      <c r="AJ528" s="1436"/>
      <c r="AK528" s="1437"/>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4"/>
      <c r="C529" s="1501"/>
      <c r="D529" s="1501"/>
      <c r="E529" s="1501"/>
      <c r="F529" s="1501"/>
      <c r="G529" s="1501"/>
      <c r="H529" s="1502"/>
      <c r="I529" s="42" t="s">
        <v>424</v>
      </c>
      <c r="J529" s="42"/>
      <c r="K529" s="42"/>
      <c r="L529" s="42"/>
      <c r="M529" s="42"/>
      <c r="N529" s="42"/>
      <c r="O529" s="1787" t="s">
        <v>335</v>
      </c>
      <c r="P529" s="1788"/>
      <c r="Q529" s="1788"/>
      <c r="R529" s="1788"/>
      <c r="S529" s="1788"/>
      <c r="T529" s="1788"/>
      <c r="U529" s="1788"/>
      <c r="V529" s="1788"/>
      <c r="W529" s="1788"/>
      <c r="X529" s="1788"/>
      <c r="Y529" s="1788"/>
      <c r="Z529" s="1788"/>
      <c r="AA529" s="1788"/>
      <c r="AC529" s="1632" t="s">
        <v>600</v>
      </c>
      <c r="AD529" s="1404"/>
      <c r="AE529" s="1404"/>
      <c r="AF529" s="1404"/>
      <c r="AG529" s="13" t="s">
        <v>404</v>
      </c>
      <c r="AH529" s="1436"/>
      <c r="AI529" s="1436"/>
      <c r="AJ529" s="1436"/>
      <c r="AK529" s="1437"/>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4"/>
      <c r="C530" s="1501"/>
      <c r="D530" s="1501"/>
      <c r="E530" s="1501"/>
      <c r="F530" s="1501"/>
      <c r="G530" s="1501"/>
      <c r="H530" s="1502"/>
      <c r="I530" t="s">
        <v>422</v>
      </c>
      <c r="AC530" s="1632" t="s">
        <v>600</v>
      </c>
      <c r="AD530" s="1404"/>
      <c r="AE530" s="1404"/>
      <c r="AF530" s="1404"/>
      <c r="AG530" s="13" t="s">
        <v>404</v>
      </c>
      <c r="AH530" s="1436"/>
      <c r="AI530" s="1436"/>
      <c r="AJ530" s="1436"/>
      <c r="AK530" s="1437"/>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4"/>
      <c r="C531" s="1501"/>
      <c r="D531" s="1501"/>
      <c r="E531" s="1501"/>
      <c r="F531" s="1501"/>
      <c r="G531" s="1501"/>
      <c r="H531" s="1502"/>
      <c r="I531" s="48" t="s">
        <v>423</v>
      </c>
      <c r="J531" s="48"/>
      <c r="K531" s="48"/>
      <c r="L531" s="48"/>
      <c r="M531" s="48"/>
      <c r="N531" s="48"/>
      <c r="O531" s="48"/>
      <c r="P531" s="48"/>
      <c r="Q531" s="48"/>
      <c r="R531" s="48"/>
      <c r="S531" s="48"/>
      <c r="T531" s="48"/>
      <c r="U531" s="48"/>
      <c r="V531" s="48"/>
      <c r="W531" s="48"/>
      <c r="X531" s="48"/>
      <c r="Y531" s="48"/>
      <c r="Z531" s="48"/>
      <c r="AA531" s="48"/>
      <c r="AB531" s="48"/>
      <c r="AC531" s="1632" t="s">
        <v>600</v>
      </c>
      <c r="AD531" s="1404"/>
      <c r="AE531" s="1404"/>
      <c r="AF531" s="1404"/>
      <c r="AG531" s="38" t="s">
        <v>404</v>
      </c>
      <c r="AH531" s="1436"/>
      <c r="AI531" s="1436"/>
      <c r="AJ531" s="1436"/>
      <c r="AK531" s="1437"/>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4"/>
      <c r="C532" s="1501"/>
      <c r="D532" s="1501"/>
      <c r="E532" s="1501"/>
      <c r="F532" s="1501"/>
      <c r="G532" s="1501"/>
      <c r="H532" s="1502"/>
      <c r="I532" s="42" t="s">
        <v>424</v>
      </c>
      <c r="J532" s="42"/>
      <c r="K532" s="42"/>
      <c r="L532" s="42"/>
      <c r="M532" s="42"/>
      <c r="N532" s="42"/>
      <c r="O532" s="1787" t="s">
        <v>335</v>
      </c>
      <c r="P532" s="1788"/>
      <c r="Q532" s="1788"/>
      <c r="R532" s="1788"/>
      <c r="S532" s="1788"/>
      <c r="T532" s="1788"/>
      <c r="U532" s="1788"/>
      <c r="V532" s="1788"/>
      <c r="W532" s="1788"/>
      <c r="X532" s="1788"/>
      <c r="Y532" s="1788"/>
      <c r="Z532" s="1788"/>
      <c r="AA532" s="1788"/>
      <c r="AC532" s="1632" t="s">
        <v>600</v>
      </c>
      <c r="AD532" s="1404"/>
      <c r="AE532" s="1404"/>
      <c r="AF532" s="1404"/>
      <c r="AG532" s="13" t="s">
        <v>404</v>
      </c>
      <c r="AH532" s="1436"/>
      <c r="AI532" s="1436"/>
      <c r="AJ532" s="1436"/>
      <c r="AK532" s="1437"/>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4"/>
      <c r="C533" s="1501"/>
      <c r="D533" s="1501"/>
      <c r="E533" s="1501"/>
      <c r="F533" s="1501"/>
      <c r="G533" s="1501"/>
      <c r="H533" s="1502"/>
      <c r="I533" t="s">
        <v>422</v>
      </c>
      <c r="AC533" s="1632" t="s">
        <v>600</v>
      </c>
      <c r="AD533" s="1404"/>
      <c r="AE533" s="1404"/>
      <c r="AF533" s="1404"/>
      <c r="AG533" s="38" t="s">
        <v>404</v>
      </c>
      <c r="AH533" s="1436"/>
      <c r="AI533" s="1436"/>
      <c r="AJ533" s="1436"/>
      <c r="AK533" s="1437"/>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4"/>
      <c r="C534" s="1501"/>
      <c r="D534" s="1501"/>
      <c r="E534" s="1501"/>
      <c r="F534" s="1501"/>
      <c r="G534" s="1501"/>
      <c r="H534" s="1502"/>
      <c r="I534" s="48" t="s">
        <v>423</v>
      </c>
      <c r="J534" s="48"/>
      <c r="K534" s="48"/>
      <c r="L534" s="48"/>
      <c r="M534" s="48"/>
      <c r="N534" s="48"/>
      <c r="O534" s="48"/>
      <c r="P534" s="48"/>
      <c r="Q534" s="48"/>
      <c r="R534" s="48"/>
      <c r="S534" s="48"/>
      <c r="T534" s="48"/>
      <c r="U534" s="48"/>
      <c r="V534" s="48"/>
      <c r="W534" s="48"/>
      <c r="X534" s="48"/>
      <c r="Y534" s="48"/>
      <c r="Z534" s="48"/>
      <c r="AA534" s="48"/>
      <c r="AB534" s="48"/>
      <c r="AC534" s="1632" t="s">
        <v>600</v>
      </c>
      <c r="AD534" s="1404"/>
      <c r="AE534" s="1404"/>
      <c r="AF534" s="1404"/>
      <c r="AG534" s="13" t="s">
        <v>404</v>
      </c>
      <c r="AH534" s="1436"/>
      <c r="AI534" s="1436"/>
      <c r="AJ534" s="1436"/>
      <c r="AK534" s="1437"/>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4"/>
      <c r="C535" s="1501"/>
      <c r="D535" s="1501"/>
      <c r="E535" s="1501"/>
      <c r="F535" s="1501"/>
      <c r="G535" s="1501"/>
      <c r="H535" s="1502"/>
      <c r="I535" s="42" t="s">
        <v>424</v>
      </c>
      <c r="J535" s="42"/>
      <c r="K535" s="42"/>
      <c r="L535" s="42"/>
      <c r="M535" s="42"/>
      <c r="N535" s="42"/>
      <c r="O535" s="1787" t="s">
        <v>335</v>
      </c>
      <c r="P535" s="1788"/>
      <c r="Q535" s="1788"/>
      <c r="R535" s="1788"/>
      <c r="S535" s="1788"/>
      <c r="T535" s="1788"/>
      <c r="U535" s="1788"/>
      <c r="V535" s="1788"/>
      <c r="W535" s="1788"/>
      <c r="X535" s="1788"/>
      <c r="Y535" s="1788"/>
      <c r="Z535" s="1788"/>
      <c r="AA535" s="1788"/>
      <c r="AC535" s="1632" t="s">
        <v>600</v>
      </c>
      <c r="AD535" s="1404"/>
      <c r="AE535" s="1404"/>
      <c r="AF535" s="1404"/>
      <c r="AG535" s="38" t="s">
        <v>404</v>
      </c>
      <c r="AH535" s="1436"/>
      <c r="AI535" s="1436"/>
      <c r="AJ535" s="1436"/>
      <c r="AK535" s="1437"/>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4"/>
      <c r="C536" s="1501"/>
      <c r="D536" s="1501"/>
      <c r="E536" s="1501"/>
      <c r="F536" s="1501"/>
      <c r="G536" s="1501"/>
      <c r="H536" s="1502"/>
      <c r="I536" t="s">
        <v>422</v>
      </c>
      <c r="AC536" s="1632" t="s">
        <v>600</v>
      </c>
      <c r="AD536" s="1404"/>
      <c r="AE536" s="1404"/>
      <c r="AF536" s="1404"/>
      <c r="AG536" s="13" t="s">
        <v>404</v>
      </c>
      <c r="AH536" s="1436"/>
      <c r="AI536" s="1436"/>
      <c r="AJ536" s="1436"/>
      <c r="AK536" s="1437"/>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4"/>
      <c r="C537" s="1501"/>
      <c r="D537" s="1501"/>
      <c r="E537" s="1501"/>
      <c r="F537" s="1501"/>
      <c r="G537" s="1501"/>
      <c r="H537" s="1502"/>
      <c r="I537" s="48" t="s">
        <v>423</v>
      </c>
      <c r="J537" s="48"/>
      <c r="K537" s="48"/>
      <c r="L537" s="48"/>
      <c r="M537" s="48"/>
      <c r="N537" s="48"/>
      <c r="O537" s="48"/>
      <c r="P537" s="48"/>
      <c r="Q537" s="48"/>
      <c r="R537" s="48"/>
      <c r="S537" s="48"/>
      <c r="T537" s="48"/>
      <c r="U537" s="48"/>
      <c r="V537" s="48"/>
      <c r="W537" s="48"/>
      <c r="X537" s="48"/>
      <c r="Y537" s="48"/>
      <c r="Z537" s="48"/>
      <c r="AA537" s="48"/>
      <c r="AB537" s="48"/>
      <c r="AC537" s="1632" t="s">
        <v>600</v>
      </c>
      <c r="AD537" s="1404"/>
      <c r="AE537" s="1404"/>
      <c r="AF537" s="1404"/>
      <c r="AG537" s="38" t="s">
        <v>404</v>
      </c>
      <c r="AH537" s="1436"/>
      <c r="AI537" s="1436"/>
      <c r="AJ537" s="1436"/>
      <c r="AK537" s="1437"/>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4"/>
      <c r="C538" s="1501"/>
      <c r="D538" s="1501"/>
      <c r="E538" s="1501"/>
      <c r="F538" s="1501"/>
      <c r="G538" s="1501"/>
      <c r="H538" s="1502"/>
      <c r="I538" s="42" t="s">
        <v>571</v>
      </c>
      <c r="J538" s="42"/>
      <c r="K538" s="42"/>
      <c r="L538" s="42"/>
      <c r="M538" s="42"/>
      <c r="N538" s="42"/>
      <c r="O538" s="42"/>
      <c r="P538" s="42"/>
      <c r="Q538" s="42"/>
      <c r="R538" s="42"/>
      <c r="S538" s="42"/>
      <c r="T538" s="42"/>
      <c r="U538" s="42"/>
      <c r="V538" s="42"/>
      <c r="W538" s="42"/>
      <c r="AC538" s="1632" t="s">
        <v>600</v>
      </c>
      <c r="AD538" s="1404"/>
      <c r="AE538" s="1404"/>
      <c r="AF538" s="1404"/>
      <c r="AG538" s="38" t="s">
        <v>404</v>
      </c>
      <c r="AH538" s="1436"/>
      <c r="AI538" s="1436"/>
      <c r="AJ538" s="1436"/>
      <c r="AK538" s="143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4"/>
      <c r="C539" s="1501"/>
      <c r="D539" s="1501"/>
      <c r="E539" s="1501"/>
      <c r="F539" s="1501"/>
      <c r="G539" s="1501"/>
      <c r="H539" s="1502"/>
      <c r="I539" t="s">
        <v>572</v>
      </c>
      <c r="AC539" s="1632" t="s">
        <v>600</v>
      </c>
      <c r="AD539" s="1404"/>
      <c r="AE539" s="1404"/>
      <c r="AF539" s="1404"/>
      <c r="AG539" s="13" t="s">
        <v>404</v>
      </c>
      <c r="AH539" s="1436"/>
      <c r="AI539" s="1436"/>
      <c r="AJ539" s="1436"/>
      <c r="AK539" s="143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4"/>
      <c r="C540" s="1501"/>
      <c r="D540" s="1501"/>
      <c r="E540" s="1501"/>
      <c r="F540" s="1501"/>
      <c r="G540" s="1501"/>
      <c r="H540" s="1502"/>
      <c r="I540" t="s">
        <v>573</v>
      </c>
      <c r="AC540" s="1632" t="s">
        <v>600</v>
      </c>
      <c r="AD540" s="1404"/>
      <c r="AE540" s="1404"/>
      <c r="AF540" s="1404"/>
      <c r="AG540" s="38" t="s">
        <v>404</v>
      </c>
      <c r="AH540" s="1436"/>
      <c r="AI540" s="1436"/>
      <c r="AJ540" s="1436"/>
      <c r="AK540" s="143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4"/>
      <c r="C541" s="1501"/>
      <c r="D541" s="1501"/>
      <c r="E541" s="1501"/>
      <c r="F541" s="1501"/>
      <c r="G541" s="1501"/>
      <c r="H541" s="1502"/>
      <c r="I541" t="s">
        <v>574</v>
      </c>
      <c r="AC541" s="1632" t="s">
        <v>600</v>
      </c>
      <c r="AD541" s="1404"/>
      <c r="AE541" s="1404"/>
      <c r="AF541" s="1404"/>
      <c r="AG541" s="38" t="s">
        <v>404</v>
      </c>
      <c r="AH541" s="1436"/>
      <c r="AI541" s="1436"/>
      <c r="AJ541" s="1436"/>
      <c r="AK541" s="143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5"/>
      <c r="C542" s="1503"/>
      <c r="D542" s="1503"/>
      <c r="E542" s="1503"/>
      <c r="F542" s="1503"/>
      <c r="G542" s="1503"/>
      <c r="H542" s="1504"/>
      <c r="I542" s="48" t="s">
        <v>460</v>
      </c>
      <c r="J542" s="48"/>
      <c r="K542" s="48"/>
      <c r="L542" s="48"/>
      <c r="M542" s="48"/>
      <c r="N542" s="48"/>
      <c r="O542" s="48"/>
      <c r="P542" s="48"/>
      <c r="Q542" s="48"/>
      <c r="R542" s="48"/>
      <c r="S542" s="48"/>
      <c r="T542" s="48"/>
      <c r="U542" s="48"/>
      <c r="V542" s="48"/>
      <c r="W542" s="48"/>
      <c r="X542" s="48"/>
      <c r="Y542" s="48"/>
      <c r="Z542" s="48"/>
      <c r="AA542" s="48"/>
      <c r="AB542" s="48"/>
      <c r="AC542" s="1632" t="s">
        <v>600</v>
      </c>
      <c r="AD542" s="1404"/>
      <c r="AE542" s="1404"/>
      <c r="AF542" s="1404"/>
      <c r="AG542" s="38" t="s">
        <v>404</v>
      </c>
      <c r="AH542" s="1436"/>
      <c r="AI542" s="1436"/>
      <c r="AJ542" s="1436"/>
      <c r="AK542" s="143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3" t="s">
        <v>2418</v>
      </c>
      <c r="C551" s="1499"/>
      <c r="D551" s="1499"/>
      <c r="E551" s="1499"/>
      <c r="F551" s="1499"/>
      <c r="G551" s="1499"/>
      <c r="H551" s="1499"/>
      <c r="I551" s="1499"/>
      <c r="J551" s="1499"/>
      <c r="K551" s="1499"/>
      <c r="L551" s="1500"/>
      <c r="M551" s="1633" t="s">
        <v>2419</v>
      </c>
      <c r="N551" s="1499"/>
      <c r="O551" s="1499"/>
      <c r="P551" s="1500"/>
      <c r="Q551" s="1633" t="s">
        <v>2445</v>
      </c>
      <c r="R551" s="1499"/>
      <c r="S551" s="1500"/>
      <c r="T551" s="1633" t="s">
        <v>2446</v>
      </c>
      <c r="U551" s="1499"/>
      <c r="V551" s="1500"/>
      <c r="W551" s="1633" t="s">
        <v>462</v>
      </c>
      <c r="X551" s="1499"/>
      <c r="Y551" s="1500"/>
      <c r="Z551" s="1633" t="s">
        <v>2044</v>
      </c>
      <c r="AA551" s="1499"/>
      <c r="AB551" s="1499"/>
      <c r="AC551" s="1499"/>
      <c r="AD551" s="1500"/>
      <c r="AE551" s="1633" t="s">
        <v>1866</v>
      </c>
      <c r="AF551" s="1499"/>
      <c r="AG551" s="1499"/>
      <c r="AH551" s="1500"/>
      <c r="AI551" s="1633" t="s">
        <v>1867</v>
      </c>
      <c r="AJ551" s="1499"/>
      <c r="AK551" s="1499"/>
      <c r="AL551" s="1500"/>
      <c r="AM551" s="1633" t="s">
        <v>463</v>
      </c>
      <c r="AN551" s="1499"/>
      <c r="AO551" s="1499"/>
      <c r="AP551" s="1499"/>
      <c r="AQ551" s="1499"/>
      <c r="AR551" s="1499"/>
      <c r="AS551" s="1500"/>
      <c r="BB551" s="3"/>
      <c r="BC551" s="3"/>
      <c r="BD551" s="3"/>
      <c r="BE551" s="3"/>
      <c r="BF551" s="3"/>
      <c r="BG551" s="3"/>
      <c r="BH551" s="3" t="s">
        <v>590</v>
      </c>
      <c r="BI551" s="3">
        <f>AG657</f>
        <v>0</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4"/>
      <c r="C552" s="1501"/>
      <c r="D552" s="1501"/>
      <c r="E552" s="1501"/>
      <c r="F552" s="1501"/>
      <c r="G552" s="1501"/>
      <c r="H552" s="1501"/>
      <c r="I552" s="1501"/>
      <c r="J552" s="1501"/>
      <c r="K552" s="1501"/>
      <c r="L552" s="1502"/>
      <c r="M552" s="1634"/>
      <c r="N552" s="1501"/>
      <c r="O552" s="1501"/>
      <c r="P552" s="1502"/>
      <c r="Q552" s="1634"/>
      <c r="R552" s="1501"/>
      <c r="S552" s="1502"/>
      <c r="T552" s="1634"/>
      <c r="U552" s="1501"/>
      <c r="V552" s="1502"/>
      <c r="W552" s="1634"/>
      <c r="X552" s="1501"/>
      <c r="Y552" s="1502"/>
      <c r="Z552" s="1634"/>
      <c r="AA552" s="1501"/>
      <c r="AB552" s="1501"/>
      <c r="AC552" s="1501"/>
      <c r="AD552" s="1502"/>
      <c r="AE552" s="1634"/>
      <c r="AF552" s="1501"/>
      <c r="AG552" s="1501"/>
      <c r="AH552" s="1502"/>
      <c r="AI552" s="1634"/>
      <c r="AJ552" s="1501"/>
      <c r="AK552" s="1501"/>
      <c r="AL552" s="1502"/>
      <c r="AM552" s="1634"/>
      <c r="AN552" s="1501"/>
      <c r="AO552" s="1501"/>
      <c r="AP552" s="1501"/>
      <c r="AQ552" s="1501"/>
      <c r="AR552" s="1501"/>
      <c r="AS552" s="150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5"/>
      <c r="C553" s="1503"/>
      <c r="D553" s="1503"/>
      <c r="E553" s="1503"/>
      <c r="F553" s="1503"/>
      <c r="G553" s="1503"/>
      <c r="H553" s="1503"/>
      <c r="I553" s="1503"/>
      <c r="J553" s="1503"/>
      <c r="K553" s="1503"/>
      <c r="L553" s="1504"/>
      <c r="M553" s="1635"/>
      <c r="N553" s="1503"/>
      <c r="O553" s="1503"/>
      <c r="P553" s="1504"/>
      <c r="Q553" s="1635"/>
      <c r="R553" s="1503"/>
      <c r="S553" s="1504"/>
      <c r="T553" s="1635"/>
      <c r="U553" s="1503"/>
      <c r="V553" s="1504"/>
      <c r="W553" s="1635"/>
      <c r="X553" s="1503"/>
      <c r="Y553" s="1504"/>
      <c r="Z553" s="1635"/>
      <c r="AA553" s="1503"/>
      <c r="AB553" s="1503"/>
      <c r="AC553" s="1503"/>
      <c r="AD553" s="1504"/>
      <c r="AE553" s="1635"/>
      <c r="AF553" s="1503"/>
      <c r="AG553" s="1503"/>
      <c r="AH553" s="1504"/>
      <c r="AI553" s="1635"/>
      <c r="AJ553" s="1503"/>
      <c r="AK553" s="1503"/>
      <c r="AL553" s="1504"/>
      <c r="AM553" s="1635"/>
      <c r="AN553" s="1503"/>
      <c r="AO553" s="1503"/>
      <c r="AP553" s="1503"/>
      <c r="AQ553" s="1503"/>
      <c r="AR553" s="1503"/>
      <c r="AS553" s="150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6" t="s">
        <v>2714</v>
      </c>
      <c r="D554" s="1636"/>
      <c r="E554" s="1636"/>
      <c r="F554" s="1636"/>
      <c r="G554" s="1636"/>
      <c r="H554" s="1636"/>
      <c r="I554" s="1636"/>
      <c r="J554" s="1636"/>
      <c r="K554" s="1636"/>
      <c r="L554" s="1636"/>
      <c r="M554" s="1636" t="s">
        <v>2435</v>
      </c>
      <c r="N554" s="1636"/>
      <c r="O554" s="1636"/>
      <c r="P554" s="1636"/>
      <c r="Q554" s="1470">
        <v>36</v>
      </c>
      <c r="R554" s="1470"/>
      <c r="S554" s="1471"/>
      <c r="T554" s="1469"/>
      <c r="U554" s="1470"/>
      <c r="V554" s="1471"/>
      <c r="W554" s="1472">
        <v>7.3200000000000001E-2</v>
      </c>
      <c r="X554" s="1473"/>
      <c r="Y554" s="1474"/>
      <c r="Z554" s="1699" t="s">
        <v>2720</v>
      </c>
      <c r="AA554" s="1699"/>
      <c r="AB554" s="1699"/>
      <c r="AC554" s="1699"/>
      <c r="AD554" s="1699"/>
      <c r="AE554" s="1629">
        <v>1</v>
      </c>
      <c r="AF554" s="1630"/>
      <c r="AG554" s="1630"/>
      <c r="AH554" s="1631"/>
      <c r="AI554" s="1626"/>
      <c r="AJ554" s="1627"/>
      <c r="AK554" s="1627"/>
      <c r="AL554" s="1628"/>
      <c r="AM554" s="1689">
        <v>49430297</v>
      </c>
      <c r="AN554" s="1690"/>
      <c r="AO554" s="1690"/>
      <c r="AP554" s="1690"/>
      <c r="AQ554" s="1690"/>
      <c r="AR554" s="1690"/>
      <c r="AS554" s="169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2715</v>
      </c>
      <c r="D555" s="1698"/>
      <c r="E555" s="1698"/>
      <c r="F555" s="1698"/>
      <c r="G555" s="1698"/>
      <c r="H555" s="1698"/>
      <c r="I555" s="1698"/>
      <c r="J555" s="1698"/>
      <c r="K555" s="1698"/>
      <c r="L555" s="1698"/>
      <c r="M555" s="1636" t="s">
        <v>2435</v>
      </c>
      <c r="N555" s="1636"/>
      <c r="O555" s="1636"/>
      <c r="P555" s="1636"/>
      <c r="Q555" s="1469">
        <v>36</v>
      </c>
      <c r="R555" s="1470"/>
      <c r="S555" s="1471"/>
      <c r="T555" s="1469"/>
      <c r="U555" s="1470"/>
      <c r="V555" s="1471"/>
      <c r="W555" s="1472">
        <v>7.3200000000000001E-2</v>
      </c>
      <c r="X555" s="1473"/>
      <c r="Y555" s="1474"/>
      <c r="Z555" s="1699" t="s">
        <v>2720</v>
      </c>
      <c r="AA555" s="1699"/>
      <c r="AB555" s="1699"/>
      <c r="AC555" s="1699"/>
      <c r="AD555" s="1699"/>
      <c r="AE555" s="1629">
        <v>1</v>
      </c>
      <c r="AF555" s="1630"/>
      <c r="AG555" s="1630"/>
      <c r="AH555" s="1631"/>
      <c r="AI555" s="1626"/>
      <c r="AJ555" s="1627"/>
      <c r="AK555" s="1627"/>
      <c r="AL555" s="1628"/>
      <c r="AM555" s="1689">
        <v>28677703</v>
      </c>
      <c r="AN555" s="1690"/>
      <c r="AO555" s="1690"/>
      <c r="AP555" s="1690"/>
      <c r="AQ555" s="1690"/>
      <c r="AR555" s="1690"/>
      <c r="AS555" s="169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2716</v>
      </c>
      <c r="D556" s="1698"/>
      <c r="E556" s="1698"/>
      <c r="F556" s="1698"/>
      <c r="G556" s="1698"/>
      <c r="H556" s="1698"/>
      <c r="I556" s="1698"/>
      <c r="J556" s="1698"/>
      <c r="K556" s="1698"/>
      <c r="L556" s="1698"/>
      <c r="M556" s="1636" t="s">
        <v>2421</v>
      </c>
      <c r="N556" s="1636"/>
      <c r="O556" s="1636"/>
      <c r="P556" s="1636"/>
      <c r="Q556" s="1469"/>
      <c r="R556" s="1470"/>
      <c r="S556" s="1471"/>
      <c r="T556" s="1469"/>
      <c r="U556" s="1470"/>
      <c r="V556" s="1471"/>
      <c r="W556" s="1472"/>
      <c r="X556" s="1473"/>
      <c r="Y556" s="1474"/>
      <c r="Z556" s="1699" t="s">
        <v>600</v>
      </c>
      <c r="AA556" s="1699"/>
      <c r="AB556" s="1699"/>
      <c r="AC556" s="1699"/>
      <c r="AD556" s="1699"/>
      <c r="AE556" s="1629"/>
      <c r="AF556" s="1630"/>
      <c r="AG556" s="1630"/>
      <c r="AH556" s="1631"/>
      <c r="AI556" s="1626"/>
      <c r="AJ556" s="1627"/>
      <c r="AK556" s="1627"/>
      <c r="AL556" s="1628"/>
      <c r="AM556" s="1689">
        <v>780294</v>
      </c>
      <c r="AN556" s="1690"/>
      <c r="AO556" s="1690"/>
      <c r="AP556" s="1690"/>
      <c r="AQ556" s="1690"/>
      <c r="AR556" s="1690"/>
      <c r="AS556" s="169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8" t="s">
        <v>2717</v>
      </c>
      <c r="D557" s="1698"/>
      <c r="E557" s="1698"/>
      <c r="F557" s="1698"/>
      <c r="G557" s="1698"/>
      <c r="H557" s="1698"/>
      <c r="I557" s="1698"/>
      <c r="J557" s="1698"/>
      <c r="K557" s="1698"/>
      <c r="L557" s="1698"/>
      <c r="M557" s="1636" t="s">
        <v>2422</v>
      </c>
      <c r="N557" s="1636"/>
      <c r="O557" s="1636"/>
      <c r="P557" s="1636"/>
      <c r="Q557" s="1469"/>
      <c r="R557" s="1470"/>
      <c r="S557" s="1471"/>
      <c r="T557" s="1469"/>
      <c r="U557" s="1470"/>
      <c r="V557" s="1471"/>
      <c r="W557" s="1472"/>
      <c r="X557" s="1473"/>
      <c r="Y557" s="1474"/>
      <c r="Z557" s="1699" t="s">
        <v>600</v>
      </c>
      <c r="AA557" s="1699"/>
      <c r="AB557" s="1699"/>
      <c r="AC557" s="1699"/>
      <c r="AD557" s="1699"/>
      <c r="AE557" s="1629"/>
      <c r="AF557" s="1630"/>
      <c r="AG557" s="1630"/>
      <c r="AH557" s="1631"/>
      <c r="AI557" s="1626"/>
      <c r="AJ557" s="1627"/>
      <c r="AK557" s="1627"/>
      <c r="AL557" s="1628"/>
      <c r="AM557" s="1689">
        <v>13951484.630000001</v>
      </c>
      <c r="AN557" s="1690"/>
      <c r="AO557" s="1690"/>
      <c r="AP557" s="1690"/>
      <c r="AQ557" s="1690"/>
      <c r="AR557" s="1690"/>
      <c r="AS557" s="169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8" t="s">
        <v>2718</v>
      </c>
      <c r="D558" s="1698"/>
      <c r="E558" s="1698"/>
      <c r="F558" s="1698"/>
      <c r="G558" s="1698"/>
      <c r="H558" s="1698"/>
      <c r="I558" s="1698"/>
      <c r="J558" s="1698"/>
      <c r="K558" s="1698"/>
      <c r="L558" s="1698"/>
      <c r="M558" s="1636" t="s">
        <v>2426</v>
      </c>
      <c r="N558" s="1636"/>
      <c r="O558" s="1636"/>
      <c r="P558" s="1636"/>
      <c r="Q558" s="1469"/>
      <c r="R558" s="1470"/>
      <c r="S558" s="1471"/>
      <c r="T558" s="1469"/>
      <c r="U558" s="1470"/>
      <c r="V558" s="1471"/>
      <c r="W558" s="1472"/>
      <c r="X558" s="1473"/>
      <c r="Y558" s="1474"/>
      <c r="Z558" s="1699" t="s">
        <v>600</v>
      </c>
      <c r="AA558" s="1699"/>
      <c r="AB558" s="1699"/>
      <c r="AC558" s="1699"/>
      <c r="AD558" s="1699"/>
      <c r="AE558" s="1629"/>
      <c r="AF558" s="1630"/>
      <c r="AG558" s="1630"/>
      <c r="AH558" s="1631"/>
      <c r="AI558" s="1626"/>
      <c r="AJ558" s="1627"/>
      <c r="AK558" s="1627"/>
      <c r="AL558" s="1628"/>
      <c r="AM558" s="1689">
        <v>8791443.1799999997</v>
      </c>
      <c r="AN558" s="1690"/>
      <c r="AO558" s="1690"/>
      <c r="AP558" s="1690"/>
      <c r="AQ558" s="1690"/>
      <c r="AR558" s="1690"/>
      <c r="AS558" s="1691"/>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8" t="s">
        <v>2719</v>
      </c>
      <c r="D559" s="1698"/>
      <c r="E559" s="1698"/>
      <c r="F559" s="1698"/>
      <c r="G559" s="1698"/>
      <c r="H559" s="1698"/>
      <c r="I559" s="1698"/>
      <c r="J559" s="1698"/>
      <c r="K559" s="1698"/>
      <c r="L559" s="1698"/>
      <c r="M559" s="1636" t="s">
        <v>2427</v>
      </c>
      <c r="N559" s="1636"/>
      <c r="O559" s="1636"/>
      <c r="P559" s="1636"/>
      <c r="Q559" s="1469"/>
      <c r="R559" s="1470"/>
      <c r="S559" s="1471"/>
      <c r="T559" s="1469"/>
      <c r="U559" s="1470"/>
      <c r="V559" s="1471"/>
      <c r="W559" s="1472"/>
      <c r="X559" s="1473"/>
      <c r="Y559" s="1474"/>
      <c r="Z559" s="1699" t="s">
        <v>600</v>
      </c>
      <c r="AA559" s="1699"/>
      <c r="AB559" s="1699"/>
      <c r="AC559" s="1699"/>
      <c r="AD559" s="1699"/>
      <c r="AE559" s="1629"/>
      <c r="AF559" s="1630"/>
      <c r="AG559" s="1630"/>
      <c r="AH559" s="1631"/>
      <c r="AI559" s="1626"/>
      <c r="AJ559" s="1627"/>
      <c r="AK559" s="1627"/>
      <c r="AL559" s="1628"/>
      <c r="AM559" s="1689">
        <v>1025285.17</v>
      </c>
      <c r="AN559" s="1690"/>
      <c r="AO559" s="1690"/>
      <c r="AP559" s="1690"/>
      <c r="AQ559" s="1690"/>
      <c r="AR559" s="1690"/>
      <c r="AS559" s="1691"/>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8"/>
      <c r="D560" s="1698"/>
      <c r="E560" s="1698"/>
      <c r="F560" s="1698"/>
      <c r="G560" s="1698"/>
      <c r="H560" s="1698"/>
      <c r="I560" s="1698"/>
      <c r="J560" s="1698"/>
      <c r="K560" s="1698"/>
      <c r="L560" s="1698"/>
      <c r="M560" s="1636" t="s">
        <v>1291</v>
      </c>
      <c r="N560" s="1636"/>
      <c r="O560" s="1636"/>
      <c r="P560" s="1636"/>
      <c r="Q560" s="1469"/>
      <c r="R560" s="1470"/>
      <c r="S560" s="1471"/>
      <c r="T560" s="1469"/>
      <c r="U560" s="1470"/>
      <c r="V560" s="1471"/>
      <c r="W560" s="1472"/>
      <c r="X560" s="1473"/>
      <c r="Y560" s="1474"/>
      <c r="Z560" s="1699" t="s">
        <v>1291</v>
      </c>
      <c r="AA560" s="1699"/>
      <c r="AB560" s="1699"/>
      <c r="AC560" s="1699"/>
      <c r="AD560" s="1699"/>
      <c r="AE560" s="1629"/>
      <c r="AF560" s="1630"/>
      <c r="AG560" s="1630"/>
      <c r="AH560" s="1631"/>
      <c r="AI560" s="1626"/>
      <c r="AJ560" s="1627"/>
      <c r="AK560" s="1627"/>
      <c r="AL560" s="1628"/>
      <c r="AM560" s="1689"/>
      <c r="AN560" s="1690"/>
      <c r="AO560" s="1690"/>
      <c r="AP560" s="1690"/>
      <c r="AQ560" s="1690"/>
      <c r="AR560" s="1690"/>
      <c r="AS560" s="169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8"/>
      <c r="D561" s="1698"/>
      <c r="E561" s="1698"/>
      <c r="F561" s="1698"/>
      <c r="G561" s="1698"/>
      <c r="H561" s="1698"/>
      <c r="I561" s="1698"/>
      <c r="J561" s="1698"/>
      <c r="K561" s="1698"/>
      <c r="L561" s="1698"/>
      <c r="M561" s="1636" t="s">
        <v>1291</v>
      </c>
      <c r="N561" s="1636"/>
      <c r="O561" s="1636"/>
      <c r="P561" s="1636"/>
      <c r="Q561" s="1469"/>
      <c r="R561" s="1470"/>
      <c r="S561" s="1471"/>
      <c r="T561" s="1469"/>
      <c r="U561" s="1470"/>
      <c r="V561" s="1471"/>
      <c r="W561" s="1472"/>
      <c r="X561" s="1473"/>
      <c r="Y561" s="1474"/>
      <c r="Z561" s="1699" t="s">
        <v>1291</v>
      </c>
      <c r="AA561" s="1699"/>
      <c r="AB561" s="1699"/>
      <c r="AC561" s="1699"/>
      <c r="AD561" s="1699"/>
      <c r="AE561" s="1629"/>
      <c r="AF561" s="1630"/>
      <c r="AG561" s="1630"/>
      <c r="AH561" s="1631"/>
      <c r="AI561" s="1626"/>
      <c r="AJ561" s="1627"/>
      <c r="AK561" s="1627"/>
      <c r="AL561" s="1628"/>
      <c r="AM561" s="1689"/>
      <c r="AN561" s="1690"/>
      <c r="AO561" s="1690"/>
      <c r="AP561" s="1690"/>
      <c r="AQ561" s="1690"/>
      <c r="AR561" s="1690"/>
      <c r="AS561" s="169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8"/>
      <c r="D562" s="1698"/>
      <c r="E562" s="1698"/>
      <c r="F562" s="1698"/>
      <c r="G562" s="1698"/>
      <c r="H562" s="1698"/>
      <c r="I562" s="1698"/>
      <c r="J562" s="1698"/>
      <c r="K562" s="1698"/>
      <c r="L562" s="1698"/>
      <c r="M562" s="1636" t="s">
        <v>1291</v>
      </c>
      <c r="N562" s="1636"/>
      <c r="O562" s="1636"/>
      <c r="P562" s="1636"/>
      <c r="Q562" s="1469"/>
      <c r="R562" s="1470"/>
      <c r="S562" s="1471"/>
      <c r="T562" s="1469"/>
      <c r="U562" s="1470"/>
      <c r="V562" s="1471"/>
      <c r="W562" s="1472"/>
      <c r="X562" s="1473"/>
      <c r="Y562" s="1474"/>
      <c r="Z562" s="1699" t="s">
        <v>1291</v>
      </c>
      <c r="AA562" s="1699"/>
      <c r="AB562" s="1699"/>
      <c r="AC562" s="1699"/>
      <c r="AD562" s="1699"/>
      <c r="AE562" s="1629"/>
      <c r="AF562" s="1630"/>
      <c r="AG562" s="1630"/>
      <c r="AH562" s="1631"/>
      <c r="AI562" s="1626"/>
      <c r="AJ562" s="1627"/>
      <c r="AK562" s="1627"/>
      <c r="AL562" s="1628"/>
      <c r="AM562" s="1689"/>
      <c r="AN562" s="1690"/>
      <c r="AO562" s="1690"/>
      <c r="AP562" s="1690"/>
      <c r="AQ562" s="1690"/>
      <c r="AR562" s="1690"/>
      <c r="AS562" s="169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8"/>
      <c r="D563" s="1698"/>
      <c r="E563" s="1698"/>
      <c r="F563" s="1698"/>
      <c r="G563" s="1698"/>
      <c r="H563" s="1698"/>
      <c r="I563" s="1698"/>
      <c r="J563" s="1698"/>
      <c r="K563" s="1698"/>
      <c r="L563" s="1698"/>
      <c r="M563" s="1636" t="s">
        <v>1291</v>
      </c>
      <c r="N563" s="1636"/>
      <c r="O563" s="1636"/>
      <c r="P563" s="1636"/>
      <c r="Q563" s="1469"/>
      <c r="R563" s="1470"/>
      <c r="S563" s="1471"/>
      <c r="T563" s="1469"/>
      <c r="U563" s="1470"/>
      <c r="V563" s="1471"/>
      <c r="W563" s="1472"/>
      <c r="X563" s="1473"/>
      <c r="Y563" s="1474"/>
      <c r="Z563" s="1699" t="s">
        <v>1291</v>
      </c>
      <c r="AA563" s="1699"/>
      <c r="AB563" s="1699"/>
      <c r="AC563" s="1699"/>
      <c r="AD563" s="1699"/>
      <c r="AE563" s="1629"/>
      <c r="AF563" s="1630"/>
      <c r="AG563" s="1630"/>
      <c r="AH563" s="1631"/>
      <c r="AI563" s="1626"/>
      <c r="AJ563" s="1627"/>
      <c r="AK563" s="1627"/>
      <c r="AL563" s="1628"/>
      <c r="AM563" s="1689"/>
      <c r="AN563" s="1690"/>
      <c r="AO563" s="1690"/>
      <c r="AP563" s="1690"/>
      <c r="AQ563" s="1690"/>
      <c r="AR563" s="1690"/>
      <c r="AS563" s="169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8"/>
      <c r="D564" s="1698"/>
      <c r="E564" s="1698"/>
      <c r="F564" s="1698"/>
      <c r="G564" s="1698"/>
      <c r="H564" s="1698"/>
      <c r="I564" s="1698"/>
      <c r="J564" s="1698"/>
      <c r="K564" s="1698"/>
      <c r="L564" s="1698"/>
      <c r="M564" s="1636" t="s">
        <v>1291</v>
      </c>
      <c r="N564" s="1636"/>
      <c r="O564" s="1636"/>
      <c r="P564" s="1636"/>
      <c r="Q564" s="1469"/>
      <c r="R564" s="1470"/>
      <c r="S564" s="1471"/>
      <c r="T564" s="1469"/>
      <c r="U564" s="1470"/>
      <c r="V564" s="1471"/>
      <c r="W564" s="1472"/>
      <c r="X564" s="1473"/>
      <c r="Y564" s="1474"/>
      <c r="Z564" s="1699" t="s">
        <v>1291</v>
      </c>
      <c r="AA564" s="1699"/>
      <c r="AB564" s="1699"/>
      <c r="AC564" s="1699"/>
      <c r="AD564" s="1699"/>
      <c r="AE564" s="1629"/>
      <c r="AF564" s="1630"/>
      <c r="AG564" s="1630"/>
      <c r="AH564" s="1631"/>
      <c r="AI564" s="1626"/>
      <c r="AJ564" s="1627"/>
      <c r="AK564" s="1627"/>
      <c r="AL564" s="1628"/>
      <c r="AM564" s="1689"/>
      <c r="AN564" s="1690"/>
      <c r="AO564" s="1690"/>
      <c r="AP564" s="1690"/>
      <c r="AQ564" s="1690"/>
      <c r="AR564" s="1690"/>
      <c r="AS564" s="169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8"/>
      <c r="D565" s="1698"/>
      <c r="E565" s="1698"/>
      <c r="F565" s="1698"/>
      <c r="G565" s="1698"/>
      <c r="H565" s="1698"/>
      <c r="I565" s="1698"/>
      <c r="J565" s="1698"/>
      <c r="K565" s="1698"/>
      <c r="L565" s="1698"/>
      <c r="M565" s="1636" t="s">
        <v>1291</v>
      </c>
      <c r="N565" s="1636"/>
      <c r="O565" s="1636"/>
      <c r="P565" s="1636"/>
      <c r="Q565" s="1469"/>
      <c r="R565" s="1470"/>
      <c r="S565" s="1471"/>
      <c r="T565" s="1469"/>
      <c r="U565" s="1470"/>
      <c r="V565" s="1471"/>
      <c r="W565" s="1472"/>
      <c r="X565" s="1473"/>
      <c r="Y565" s="1474"/>
      <c r="Z565" s="1699" t="s">
        <v>1291</v>
      </c>
      <c r="AA565" s="1699"/>
      <c r="AB565" s="1699"/>
      <c r="AC565" s="1699"/>
      <c r="AD565" s="1699"/>
      <c r="AE565" s="1629"/>
      <c r="AF565" s="1630"/>
      <c r="AG565" s="1630"/>
      <c r="AH565" s="1631"/>
      <c r="AI565" s="1626"/>
      <c r="AJ565" s="1627"/>
      <c r="AK565" s="1627"/>
      <c r="AL565" s="1628"/>
      <c r="AM565" s="1689"/>
      <c r="AN565" s="1690"/>
      <c r="AO565" s="1690"/>
      <c r="AP565" s="1690"/>
      <c r="AQ565" s="1690"/>
      <c r="AR565" s="1690"/>
      <c r="AS565" s="169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52" t="s">
        <v>127</v>
      </c>
      <c r="C566" s="1653"/>
      <c r="D566" s="1653"/>
      <c r="E566" s="1653"/>
      <c r="F566" s="1653"/>
      <c r="G566" s="1653"/>
      <c r="H566" s="1653"/>
      <c r="I566" s="1653"/>
      <c r="J566" s="1653"/>
      <c r="K566" s="1653"/>
      <c r="L566" s="1653"/>
      <c r="M566" s="1653"/>
      <c r="N566" s="1653"/>
      <c r="O566" s="1653"/>
      <c r="P566" s="1653"/>
      <c r="Q566" s="1653"/>
      <c r="R566" s="1653"/>
      <c r="S566" s="1653"/>
      <c r="T566" s="1653"/>
      <c r="U566" s="1707"/>
      <c r="V566" s="1653"/>
      <c r="W566" s="1653"/>
      <c r="X566" s="1653"/>
      <c r="Y566" s="1653"/>
      <c r="Z566" s="1653"/>
      <c r="AA566" s="1653"/>
      <c r="AB566" s="1653"/>
      <c r="AC566" s="1653"/>
      <c r="AD566" s="1653"/>
      <c r="AE566" s="1653"/>
      <c r="AF566" s="1653"/>
      <c r="AG566" s="1653"/>
      <c r="AH566" s="1653"/>
      <c r="AI566" s="1653"/>
      <c r="AJ566" s="1653"/>
      <c r="AK566" s="1653"/>
      <c r="AL566" s="1654"/>
      <c r="AM566" s="1366">
        <f>SUM(AM554:AS565)</f>
        <v>102656506.98</v>
      </c>
      <c r="AN566" s="1367"/>
      <c r="AO566" s="1367"/>
      <c r="AP566" s="1367"/>
      <c r="AQ566" s="1367"/>
      <c r="AR566" s="1367"/>
      <c r="AS566" s="1368"/>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1" t="str">
        <f>C554</f>
        <v>Citibank, N.A./Tax-Exempt Bond</v>
      </c>
      <c r="H568" s="1451"/>
      <c r="I568" s="1451"/>
      <c r="J568" s="1451"/>
      <c r="K568" s="1451"/>
      <c r="L568" s="1451"/>
      <c r="M568" s="1451"/>
      <c r="N568" s="1451"/>
      <c r="O568" s="1451"/>
      <c r="P568" s="1451"/>
      <c r="Q568" s="1451"/>
      <c r="R568" s="1451"/>
      <c r="S568" s="8"/>
      <c r="T568" s="55" t="s">
        <v>113</v>
      </c>
      <c r="U568" t="s">
        <v>472</v>
      </c>
      <c r="Z568" s="1451" t="str">
        <f>C555</f>
        <v>Citibank, N.A./Taxable Bond</v>
      </c>
      <c r="AA568" s="1451"/>
      <c r="AB568" s="1451"/>
      <c r="AC568" s="1451"/>
      <c r="AD568" s="1451"/>
      <c r="AE568" s="1451"/>
      <c r="AF568" s="1451"/>
      <c r="AG568" s="1451"/>
      <c r="AH568" s="1451"/>
      <c r="AI568" s="1451"/>
      <c r="AJ568" s="1451"/>
      <c r="AK568" s="14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6" t="s">
        <v>2721</v>
      </c>
      <c r="H569" s="1406"/>
      <c r="I569" s="1406"/>
      <c r="J569" s="1406"/>
      <c r="K569" s="1406"/>
      <c r="L569" s="1406"/>
      <c r="M569" s="1406"/>
      <c r="N569" s="1406"/>
      <c r="O569" s="1406"/>
      <c r="P569" s="1406"/>
      <c r="Q569" s="1406"/>
      <c r="R569" s="1406"/>
      <c r="S569" s="8"/>
      <c r="T569" s="22"/>
      <c r="U569" t="s">
        <v>85</v>
      </c>
      <c r="Z569" s="1406" t="s">
        <v>2721</v>
      </c>
      <c r="AA569" s="1406"/>
      <c r="AB569" s="1406"/>
      <c r="AC569" s="1406"/>
      <c r="AD569" s="1406"/>
      <c r="AE569" s="1406"/>
      <c r="AF569" s="1406"/>
      <c r="AG569" s="1406"/>
      <c r="AH569" s="1406"/>
      <c r="AI569" s="1406"/>
      <c r="AJ569" s="1406"/>
      <c r="AK569" s="140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06" t="s">
        <v>2722</v>
      </c>
      <c r="H570" s="1406"/>
      <c r="I570" s="1406"/>
      <c r="J570" s="1406"/>
      <c r="K570" s="1406"/>
      <c r="L570" s="1406"/>
      <c r="M570" s="1406"/>
      <c r="N570" s="1406"/>
      <c r="O570" s="1406"/>
      <c r="P570" s="1406"/>
      <c r="Q570" s="1406"/>
      <c r="R570" s="1406"/>
      <c r="T570" s="22"/>
      <c r="U570" t="s">
        <v>589</v>
      </c>
      <c r="Z570" s="1407" t="s">
        <v>2722</v>
      </c>
      <c r="AA570" s="1407"/>
      <c r="AB570" s="1407"/>
      <c r="AC570" s="1407"/>
      <c r="AD570" s="1407"/>
      <c r="AE570" s="1407"/>
      <c r="AF570" s="1407"/>
      <c r="AG570" s="1407"/>
      <c r="AH570" s="1407"/>
      <c r="AI570" s="1407"/>
      <c r="AJ570" s="1407"/>
      <c r="AK570" s="140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6" t="s">
        <v>2723</v>
      </c>
      <c r="H571" s="1406"/>
      <c r="I571" s="1406"/>
      <c r="J571" s="1406"/>
      <c r="K571" s="1406"/>
      <c r="L571" s="1406"/>
      <c r="M571" s="1406"/>
      <c r="N571" s="1406"/>
      <c r="O571" s="1406"/>
      <c r="P571" s="1406"/>
      <c r="Q571" s="1406"/>
      <c r="R571" s="1406"/>
      <c r="S571" s="8"/>
      <c r="T571" s="22"/>
      <c r="U571" t="s">
        <v>17</v>
      </c>
      <c r="Z571" s="1407" t="s">
        <v>2723</v>
      </c>
      <c r="AA571" s="1407"/>
      <c r="AB571" s="1407"/>
      <c r="AC571" s="1407"/>
      <c r="AD571" s="1407"/>
      <c r="AE571" s="1407"/>
      <c r="AF571" s="1407"/>
      <c r="AG571" s="1407"/>
      <c r="AH571" s="1407"/>
      <c r="AI571" s="1407"/>
      <c r="AJ571" s="1407"/>
      <c r="AK571" s="140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65">
        <v>8054941808</v>
      </c>
      <c r="H572" s="1465"/>
      <c r="I572" s="1465"/>
      <c r="J572" s="1465"/>
      <c r="K572" s="1465"/>
      <c r="L572" s="1465"/>
      <c r="O572" s="33" t="s">
        <v>207</v>
      </c>
      <c r="P572" s="1489"/>
      <c r="Q572" s="1489"/>
      <c r="R572" s="1489"/>
      <c r="S572" s="10"/>
      <c r="T572" s="22"/>
      <c r="U572" t="s">
        <v>317</v>
      </c>
      <c r="Z572" s="1465">
        <v>8054941808</v>
      </c>
      <c r="AA572" s="1465"/>
      <c r="AB572" s="1465"/>
      <c r="AC572" s="1465"/>
      <c r="AD572" s="1465"/>
      <c r="AE572" s="1465"/>
      <c r="AH572" s="33" t="s">
        <v>207</v>
      </c>
      <c r="AI572" s="1489"/>
      <c r="AJ572" s="1489"/>
      <c r="AK572" s="148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6" t="s">
        <v>2724</v>
      </c>
      <c r="I573" s="1406"/>
      <c r="J573" s="1406"/>
      <c r="K573" s="1406"/>
      <c r="L573" s="1406"/>
      <c r="M573" s="1406"/>
      <c r="N573" s="1406"/>
      <c r="O573" s="1406"/>
      <c r="P573" s="1406"/>
      <c r="Q573" s="1406"/>
      <c r="R573" s="1406"/>
      <c r="S573" s="8"/>
      <c r="T573" s="22"/>
      <c r="U573" t="s">
        <v>18</v>
      </c>
      <c r="AA573" s="1406" t="s">
        <v>2724</v>
      </c>
      <c r="AB573" s="1406"/>
      <c r="AC573" s="1406"/>
      <c r="AD573" s="1406"/>
      <c r="AE573" s="1406"/>
      <c r="AF573" s="1406"/>
      <c r="AG573" s="1406"/>
      <c r="AH573" s="1406"/>
      <c r="AI573" s="1406"/>
      <c r="AJ573" s="1406"/>
      <c r="AK573" s="14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84" t="s">
        <v>2725</v>
      </c>
      <c r="N574" s="1747"/>
      <c r="O574" s="1747"/>
      <c r="P574" s="1747"/>
      <c r="Q574" s="1747"/>
      <c r="R574" s="1747"/>
      <c r="S574" s="8"/>
      <c r="T574" s="22"/>
      <c r="U574" s="348" t="s">
        <v>1292</v>
      </c>
      <c r="AA574" s="8"/>
      <c r="AB574" s="8"/>
      <c r="AC574" s="8"/>
      <c r="AD574" s="8"/>
      <c r="AE574" s="8"/>
      <c r="AF574" s="1747" t="s">
        <v>2725</v>
      </c>
      <c r="AG574" s="1747"/>
      <c r="AH574" s="1747"/>
      <c r="AI574" s="1747"/>
      <c r="AJ574" s="1747"/>
      <c r="AK574" s="174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5" t="s">
        <v>554</v>
      </c>
      <c r="O575" s="1405"/>
      <c r="T575" s="22"/>
      <c r="U575" t="s">
        <v>20</v>
      </c>
      <c r="AG575" s="1405" t="s">
        <v>554</v>
      </c>
      <c r="AH575" s="140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1" t="str">
        <f>C556</f>
        <v>Cost Deferred to Conversion</v>
      </c>
      <c r="H577" s="1451"/>
      <c r="I577" s="1451"/>
      <c r="J577" s="1451"/>
      <c r="K577" s="1451"/>
      <c r="L577" s="1451"/>
      <c r="M577" s="1451"/>
      <c r="N577" s="1451"/>
      <c r="O577" s="1451"/>
      <c r="P577" s="1451"/>
      <c r="Q577" s="1451"/>
      <c r="R577" s="1451"/>
      <c r="T577" s="55" t="s">
        <v>590</v>
      </c>
      <c r="U577" t="s">
        <v>472</v>
      </c>
      <c r="Z577" s="1451" t="str">
        <f>C557</f>
        <v>Deferred Dev Fee</v>
      </c>
      <c r="AA577" s="1451"/>
      <c r="AB577" s="1451"/>
      <c r="AC577" s="1451"/>
      <c r="AD577" s="1451"/>
      <c r="AE577" s="1451"/>
      <c r="AF577" s="1451"/>
      <c r="AG577" s="1451"/>
      <c r="AH577" s="1451"/>
      <c r="AI577" s="1451"/>
      <c r="AJ577" s="1451"/>
      <c r="AK577" s="14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6" t="s">
        <v>2726</v>
      </c>
      <c r="H578" s="1406"/>
      <c r="I578" s="1406"/>
      <c r="J578" s="1406"/>
      <c r="K578" s="1406"/>
      <c r="L578" s="1406"/>
      <c r="M578" s="1406"/>
      <c r="N578" s="1406"/>
      <c r="O578" s="1406"/>
      <c r="P578" s="1406"/>
      <c r="Q578" s="1406"/>
      <c r="R578" s="1406"/>
      <c r="T578" s="22"/>
      <c r="U578" t="s">
        <v>85</v>
      </c>
      <c r="Z578" s="1406" t="s">
        <v>2726</v>
      </c>
      <c r="AA578" s="1406"/>
      <c r="AB578" s="1406"/>
      <c r="AC578" s="1406"/>
      <c r="AD578" s="1406"/>
      <c r="AE578" s="1406"/>
      <c r="AF578" s="1406"/>
      <c r="AG578" s="1406"/>
      <c r="AH578" s="1406"/>
      <c r="AI578" s="1406"/>
      <c r="AJ578" s="1406"/>
      <c r="AK578" s="140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07" t="s">
        <v>2667</v>
      </c>
      <c r="H579" s="1407"/>
      <c r="I579" s="1407"/>
      <c r="J579" s="1407"/>
      <c r="K579" s="1407"/>
      <c r="L579" s="1407"/>
      <c r="M579" s="1407"/>
      <c r="N579" s="1407"/>
      <c r="O579" s="1407"/>
      <c r="P579" s="1407"/>
      <c r="Q579" s="1407"/>
      <c r="R579" s="1407"/>
      <c r="T579" s="22"/>
      <c r="U579" t="s">
        <v>589</v>
      </c>
      <c r="Z579" s="1407" t="s">
        <v>2667</v>
      </c>
      <c r="AA579" s="1407"/>
      <c r="AB579" s="1407"/>
      <c r="AC579" s="1407"/>
      <c r="AD579" s="1407"/>
      <c r="AE579" s="1407"/>
      <c r="AF579" s="1407"/>
      <c r="AG579" s="1407"/>
      <c r="AH579" s="1407"/>
      <c r="AI579" s="1407"/>
      <c r="AJ579" s="1407"/>
      <c r="AK579" s="140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7" t="s">
        <v>2646</v>
      </c>
      <c r="H580" s="1407"/>
      <c r="I580" s="1407"/>
      <c r="J580" s="1407"/>
      <c r="K580" s="1407"/>
      <c r="L580" s="1407"/>
      <c r="M580" s="1407"/>
      <c r="N580" s="1407"/>
      <c r="O580" s="1407"/>
      <c r="P580" s="1407"/>
      <c r="Q580" s="1407"/>
      <c r="R580" s="1407"/>
      <c r="T580" s="22"/>
      <c r="U580" t="s">
        <v>17</v>
      </c>
      <c r="Z580" s="1407" t="s">
        <v>2646</v>
      </c>
      <c r="AA580" s="1407"/>
      <c r="AB580" s="1407"/>
      <c r="AC580" s="1407"/>
      <c r="AD580" s="1407"/>
      <c r="AE580" s="1407"/>
      <c r="AF580" s="1407"/>
      <c r="AG580" s="1407"/>
      <c r="AH580" s="1407"/>
      <c r="AI580" s="1407"/>
      <c r="AJ580" s="1407"/>
      <c r="AK580" s="140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5" t="s">
        <v>2647</v>
      </c>
      <c r="H581" s="1465"/>
      <c r="I581" s="1465"/>
      <c r="J581" s="1465"/>
      <c r="K581" s="1465"/>
      <c r="L581" s="1465"/>
      <c r="O581" s="33" t="s">
        <v>207</v>
      </c>
      <c r="P581" s="1489"/>
      <c r="Q581" s="1489"/>
      <c r="R581" s="1489"/>
      <c r="T581" s="22"/>
      <c r="U581" t="s">
        <v>317</v>
      </c>
      <c r="Z581" s="1465" t="s">
        <v>2647</v>
      </c>
      <c r="AA581" s="1465"/>
      <c r="AB581" s="1465"/>
      <c r="AC581" s="1465"/>
      <c r="AD581" s="1465"/>
      <c r="AE581" s="1465"/>
      <c r="AH581" s="33" t="s">
        <v>207</v>
      </c>
      <c r="AI581" s="1489"/>
      <c r="AJ581" s="1489"/>
      <c r="AK581" s="148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6" t="s">
        <v>2727</v>
      </c>
      <c r="I582" s="1406"/>
      <c r="J582" s="1406"/>
      <c r="K582" s="1406"/>
      <c r="L582" s="1406"/>
      <c r="M582" s="1406"/>
      <c r="N582" s="1406"/>
      <c r="O582" s="1406"/>
      <c r="P582" s="1406"/>
      <c r="Q582" s="1406"/>
      <c r="R582" s="1406"/>
      <c r="T582" s="22"/>
      <c r="U582" t="s">
        <v>18</v>
      </c>
      <c r="AA582" s="1406" t="s">
        <v>2717</v>
      </c>
      <c r="AB582" s="1406"/>
      <c r="AC582" s="1406"/>
      <c r="AD582" s="1406"/>
      <c r="AE582" s="1406"/>
      <c r="AF582" s="1406"/>
      <c r="AG582" s="1406"/>
      <c r="AH582" s="1406"/>
      <c r="AI582" s="1406"/>
      <c r="AJ582" s="1406"/>
      <c r="AK582" s="140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5" t="s">
        <v>554</v>
      </c>
      <c r="O583" s="1405"/>
      <c r="T583" s="22"/>
      <c r="U583" t="s">
        <v>20</v>
      </c>
      <c r="AG583" s="1405" t="s">
        <v>554</v>
      </c>
      <c r="AH583" s="140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51" t="str">
        <f>C558</f>
        <v>Aegon/LIHTC Equity</v>
      </c>
      <c r="H585" s="1451"/>
      <c r="I585" s="1451"/>
      <c r="J585" s="1451"/>
      <c r="K585" s="1451"/>
      <c r="L585" s="1451"/>
      <c r="M585" s="1451"/>
      <c r="N585" s="1451"/>
      <c r="O585" s="1451"/>
      <c r="P585" s="1451"/>
      <c r="Q585" s="1451"/>
      <c r="R585" s="1451"/>
      <c r="T585" s="55" t="s">
        <v>593</v>
      </c>
      <c r="U585" t="s">
        <v>472</v>
      </c>
      <c r="Z585" s="1451" t="str">
        <f>C559</f>
        <v>Aegon/State TC Equity</v>
      </c>
      <c r="AA585" s="1451"/>
      <c r="AB585" s="1451"/>
      <c r="AC585" s="1451"/>
      <c r="AD585" s="1451"/>
      <c r="AE585" s="1451"/>
      <c r="AF585" s="1451"/>
      <c r="AG585" s="1451"/>
      <c r="AH585" s="1451"/>
      <c r="AI585" s="1451"/>
      <c r="AJ585" s="1451"/>
      <c r="AK585" s="14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6" t="s">
        <v>2686</v>
      </c>
      <c r="H586" s="1406"/>
      <c r="I586" s="1406"/>
      <c r="J586" s="1406"/>
      <c r="K586" s="1406"/>
      <c r="L586" s="1406"/>
      <c r="M586" s="1406"/>
      <c r="N586" s="1406"/>
      <c r="O586" s="1406"/>
      <c r="P586" s="1406"/>
      <c r="Q586" s="1406"/>
      <c r="R586" s="1406"/>
      <c r="T586" s="22"/>
      <c r="U586" t="s">
        <v>85</v>
      </c>
      <c r="Z586" s="1406" t="s">
        <v>2686</v>
      </c>
      <c r="AA586" s="1406"/>
      <c r="AB586" s="1406"/>
      <c r="AC586" s="1406"/>
      <c r="AD586" s="1406"/>
      <c r="AE586" s="1406"/>
      <c r="AF586" s="1406"/>
      <c r="AG586" s="1406"/>
      <c r="AH586" s="1406"/>
      <c r="AI586" s="1406"/>
      <c r="AJ586" s="1406"/>
      <c r="AK586" s="140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06" t="s">
        <v>740</v>
      </c>
      <c r="H587" s="1406"/>
      <c r="I587" s="1406"/>
      <c r="J587" s="1406"/>
      <c r="K587" s="1406"/>
      <c r="L587" s="1406"/>
      <c r="M587" s="1406"/>
      <c r="N587" s="1406"/>
      <c r="O587" s="1406"/>
      <c r="P587" s="1406"/>
      <c r="Q587" s="1406"/>
      <c r="R587" s="1406"/>
      <c r="T587" s="22"/>
      <c r="U587" t="s">
        <v>589</v>
      </c>
      <c r="Z587" s="1407" t="s">
        <v>740</v>
      </c>
      <c r="AA587" s="1407"/>
      <c r="AB587" s="1407"/>
      <c r="AC587" s="1407"/>
      <c r="AD587" s="1407"/>
      <c r="AE587" s="1407"/>
      <c r="AF587" s="1407"/>
      <c r="AG587" s="1407"/>
      <c r="AH587" s="1407"/>
      <c r="AI587" s="1407"/>
      <c r="AJ587" s="1407"/>
      <c r="AK587" s="140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6" t="s">
        <v>2687</v>
      </c>
      <c r="H588" s="1406"/>
      <c r="I588" s="1406"/>
      <c r="J588" s="1406"/>
      <c r="K588" s="1406"/>
      <c r="L588" s="1406"/>
      <c r="M588" s="1406"/>
      <c r="N588" s="1406"/>
      <c r="O588" s="1406"/>
      <c r="P588" s="1406"/>
      <c r="Q588" s="1406"/>
      <c r="R588" s="1406"/>
      <c r="T588" s="22"/>
      <c r="U588" t="s">
        <v>17</v>
      </c>
      <c r="Z588" s="1407" t="s">
        <v>2687</v>
      </c>
      <c r="AA588" s="1407"/>
      <c r="AB588" s="1407"/>
      <c r="AC588" s="1407"/>
      <c r="AD588" s="1407"/>
      <c r="AE588" s="1407"/>
      <c r="AF588" s="1407"/>
      <c r="AG588" s="1407"/>
      <c r="AH588" s="1407"/>
      <c r="AI588" s="1407"/>
      <c r="AJ588" s="1407"/>
      <c r="AK588" s="1407"/>
    </row>
    <row r="589" spans="1:110" ht="12.95" customHeight="1">
      <c r="A589" s="22"/>
      <c r="B589" t="s">
        <v>317</v>
      </c>
      <c r="G589" s="1465" t="s">
        <v>2688</v>
      </c>
      <c r="H589" s="1465"/>
      <c r="I589" s="1465"/>
      <c r="J589" s="1465"/>
      <c r="K589" s="1465"/>
      <c r="L589" s="1465"/>
      <c r="O589" s="33" t="s">
        <v>207</v>
      </c>
      <c r="P589" s="1489"/>
      <c r="Q589" s="1489"/>
      <c r="R589" s="1489"/>
      <c r="T589" s="22"/>
      <c r="U589" t="s">
        <v>317</v>
      </c>
      <c r="Z589" s="1465" t="s">
        <v>2688</v>
      </c>
      <c r="AA589" s="1465"/>
      <c r="AB589" s="1465"/>
      <c r="AC589" s="1465"/>
      <c r="AD589" s="1465"/>
      <c r="AE589" s="1465"/>
      <c r="AH589" s="33" t="s">
        <v>207</v>
      </c>
      <c r="AI589" s="1489"/>
      <c r="AJ589" s="1489"/>
      <c r="AK589" s="148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7" t="s">
        <v>2728</v>
      </c>
      <c r="I590" s="1406"/>
      <c r="J590" s="1406"/>
      <c r="K590" s="1406"/>
      <c r="L590" s="1406"/>
      <c r="M590" s="1406"/>
      <c r="N590" s="1406"/>
      <c r="O590" s="1406"/>
      <c r="P590" s="1406"/>
      <c r="Q590" s="1406"/>
      <c r="R590" s="1406"/>
      <c r="T590" s="22"/>
      <c r="U590" t="s">
        <v>18</v>
      </c>
      <c r="AA590" s="1406" t="s">
        <v>2728</v>
      </c>
      <c r="AB590" s="1406"/>
      <c r="AC590" s="1406"/>
      <c r="AD590" s="1406"/>
      <c r="AE590" s="1406"/>
      <c r="AF590" s="1406"/>
      <c r="AG590" s="1406"/>
      <c r="AH590" s="1406"/>
      <c r="AI590" s="1406"/>
      <c r="AJ590" s="1406"/>
      <c r="AK590" s="140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5" t="s">
        <v>554</v>
      </c>
      <c r="O591" s="1405"/>
      <c r="T591" s="22"/>
      <c r="U591" t="s">
        <v>20</v>
      </c>
      <c r="AG591" s="1405" t="s">
        <v>554</v>
      </c>
      <c r="AH591" s="140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1">
        <f>C560</f>
        <v>0</v>
      </c>
      <c r="H593" s="1451"/>
      <c r="I593" s="1451"/>
      <c r="J593" s="1451"/>
      <c r="K593" s="1451"/>
      <c r="L593" s="1451"/>
      <c r="M593" s="1451"/>
      <c r="N593" s="1451"/>
      <c r="O593" s="1451"/>
      <c r="P593" s="1451"/>
      <c r="Q593" s="1451"/>
      <c r="R593" s="1451"/>
      <c r="T593" s="55" t="s">
        <v>465</v>
      </c>
      <c r="U593" t="s">
        <v>472</v>
      </c>
      <c r="Z593" s="1451">
        <f>C561</f>
        <v>0</v>
      </c>
      <c r="AA593" s="1451"/>
      <c r="AB593" s="1451"/>
      <c r="AC593" s="1451"/>
      <c r="AD593" s="1451"/>
      <c r="AE593" s="1451"/>
      <c r="AF593" s="1451"/>
      <c r="AG593" s="1451"/>
      <c r="AH593" s="1451"/>
      <c r="AI593" s="1451"/>
      <c r="AJ593" s="1451"/>
      <c r="AK593" s="145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06"/>
      <c r="H595" s="1406"/>
      <c r="I595" s="1406"/>
      <c r="J595" s="1406"/>
      <c r="K595" s="1406"/>
      <c r="L595" s="1406"/>
      <c r="M595" s="1406"/>
      <c r="N595" s="1406"/>
      <c r="O595" s="1406"/>
      <c r="P595" s="1406"/>
      <c r="Q595" s="1406"/>
      <c r="R595" s="1406"/>
      <c r="S595"/>
      <c r="T595" s="22"/>
      <c r="U595" t="s">
        <v>589</v>
      </c>
      <c r="V595"/>
      <c r="W595"/>
      <c r="X595"/>
      <c r="Y595"/>
      <c r="Z595" s="1407"/>
      <c r="AA595" s="1407"/>
      <c r="AB595" s="1407"/>
      <c r="AC595" s="1407"/>
      <c r="AD595" s="1407"/>
      <c r="AE595" s="1407"/>
      <c r="AF595" s="1407"/>
      <c r="AG595" s="1407"/>
      <c r="AH595" s="1407"/>
      <c r="AI595" s="1407"/>
      <c r="AJ595" s="1407"/>
      <c r="AK595" s="140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407"/>
      <c r="AA596" s="1407"/>
      <c r="AB596" s="1407"/>
      <c r="AC596" s="1407"/>
      <c r="AD596" s="1407"/>
      <c r="AE596" s="1407"/>
      <c r="AF596" s="1407"/>
      <c r="AG596" s="1407"/>
      <c r="AH596" s="1407"/>
      <c r="AI596" s="1407"/>
      <c r="AJ596" s="1407"/>
      <c r="AK596" s="1407"/>
      <c r="AL596"/>
      <c r="AM596"/>
      <c r="AN596"/>
      <c r="AO596"/>
      <c r="AP596"/>
      <c r="AQ596"/>
      <c r="AR596"/>
      <c r="AS596"/>
      <c r="AT596"/>
      <c r="AU596"/>
      <c r="AV596"/>
      <c r="AW596"/>
      <c r="AX596"/>
      <c r="AY596"/>
      <c r="BA596" s="4" t="s">
        <v>325</v>
      </c>
      <c r="BB596" s="3"/>
      <c r="BC596" s="3"/>
      <c r="BD596" s="3"/>
      <c r="BE596" s="121" t="s">
        <v>483</v>
      </c>
      <c r="BF596" s="122"/>
      <c r="BG596" s="1492"/>
      <c r="BH596" s="1494"/>
      <c r="BI596" s="121" t="s">
        <v>484</v>
      </c>
      <c r="BJ596" s="122"/>
      <c r="BK596" s="1492"/>
      <c r="BL596" s="1494"/>
      <c r="BM596" s="3"/>
      <c r="BN596" s="1424" t="s">
        <v>642</v>
      </c>
      <c r="BO596" s="1425"/>
      <c r="BP596" s="1425"/>
      <c r="BQ596" s="1425"/>
      <c r="BR596" s="1426"/>
      <c r="BS596" s="1507" t="s">
        <v>326</v>
      </c>
      <c r="BT596" s="1507"/>
      <c r="BU596" s="1507"/>
      <c r="BV596" s="1507"/>
      <c r="BW596" s="1507"/>
      <c r="BX596" s="1507" t="s">
        <v>163</v>
      </c>
      <c r="BY596" s="1507"/>
      <c r="BZ596" s="1507"/>
      <c r="CA596" s="1507"/>
      <c r="CB596" s="1507"/>
      <c r="CC596" s="1507" t="s">
        <v>164</v>
      </c>
      <c r="CD596" s="1507"/>
      <c r="CE596" s="1507"/>
      <c r="CF596" s="1507"/>
      <c r="CG596" s="1507"/>
      <c r="CH596" s="1507" t="s">
        <v>469</v>
      </c>
      <c r="CI596" s="1507"/>
      <c r="CJ596" s="1507"/>
      <c r="CK596" s="1507"/>
      <c r="CL596" s="1507"/>
      <c r="CM596" s="1507" t="s">
        <v>30</v>
      </c>
      <c r="CN596" s="1507"/>
      <c r="CO596" s="1507"/>
      <c r="CP596" s="1507"/>
      <c r="CQ596" s="1507"/>
      <c r="CR596" s="89"/>
      <c r="CS596" s="1507" t="s">
        <v>642</v>
      </c>
      <c r="CT596" s="1507"/>
      <c r="CU596" s="1507"/>
      <c r="CV596" s="1507"/>
      <c r="CW596" s="1507"/>
      <c r="CX596" s="1507" t="s">
        <v>326</v>
      </c>
      <c r="CY596" s="1507"/>
      <c r="CZ596" s="1507"/>
      <c r="DA596" s="1507"/>
      <c r="DB596" s="1507"/>
      <c r="DC596" s="1507" t="s">
        <v>163</v>
      </c>
      <c r="DD596" s="1507"/>
      <c r="DE596" s="1507"/>
      <c r="DF596" s="1507"/>
      <c r="DG596" s="1507"/>
      <c r="DH596" s="1507" t="s">
        <v>164</v>
      </c>
      <c r="DI596" s="1507"/>
      <c r="DJ596" s="1507"/>
      <c r="DK596" s="1507"/>
      <c r="DL596" s="1507"/>
      <c r="DM596" s="1507" t="s">
        <v>469</v>
      </c>
      <c r="DN596" s="1507"/>
      <c r="DO596" s="1507"/>
      <c r="DP596" s="1507"/>
      <c r="DQ596" s="1507"/>
      <c r="DR596" s="1507" t="s">
        <v>30</v>
      </c>
      <c r="DS596" s="1507"/>
      <c r="DT596" s="1507"/>
      <c r="DU596" s="1507"/>
      <c r="DV596" s="1507"/>
      <c r="DX596" s="1507" t="s">
        <v>642</v>
      </c>
      <c r="DY596" s="1507"/>
      <c r="DZ596" s="1507"/>
      <c r="EA596" s="1507"/>
      <c r="EB596" s="1507"/>
      <c r="EC596" s="1507" t="s">
        <v>326</v>
      </c>
      <c r="ED596" s="1507"/>
      <c r="EE596" s="1507"/>
      <c r="EF596" s="1507"/>
      <c r="EG596" s="1507"/>
      <c r="EH596" s="1507" t="s">
        <v>163</v>
      </c>
      <c r="EI596" s="1507"/>
      <c r="EJ596" s="1507"/>
      <c r="EK596" s="1507"/>
      <c r="EL596" s="1507"/>
      <c r="EM596" s="1507" t="s">
        <v>164</v>
      </c>
      <c r="EN596" s="1507"/>
      <c r="EO596" s="1507"/>
      <c r="EP596" s="1507"/>
      <c r="EQ596" s="1507"/>
      <c r="ER596" s="1507" t="s">
        <v>469</v>
      </c>
      <c r="ES596" s="1507"/>
      <c r="ET596" s="1507"/>
      <c r="EU596" s="1507"/>
      <c r="EV596" s="1507"/>
      <c r="EW596" s="1507" t="s">
        <v>30</v>
      </c>
      <c r="EX596" s="1507"/>
      <c r="EY596" s="1507"/>
      <c r="EZ596" s="1507"/>
      <c r="FA596" s="1507"/>
    </row>
    <row r="597" spans="1:157" s="4" customFormat="1" ht="12.95" customHeight="1">
      <c r="A597" s="22"/>
      <c r="B597" t="s">
        <v>317</v>
      </c>
      <c r="C597"/>
      <c r="D597"/>
      <c r="E597"/>
      <c r="F597"/>
      <c r="G597" s="1465"/>
      <c r="H597" s="1465"/>
      <c r="I597" s="1465"/>
      <c r="J597" s="1465"/>
      <c r="K597" s="1465"/>
      <c r="L597" s="1465"/>
      <c r="M597"/>
      <c r="N597"/>
      <c r="O597" s="33" t="s">
        <v>207</v>
      </c>
      <c r="P597" s="1489"/>
      <c r="Q597" s="1489"/>
      <c r="R597" s="1489"/>
      <c r="S597"/>
      <c r="T597" s="22"/>
      <c r="U597" t="s">
        <v>317</v>
      </c>
      <c r="V597"/>
      <c r="W597"/>
      <c r="X597"/>
      <c r="Y597"/>
      <c r="Z597" s="1465"/>
      <c r="AA597" s="1465"/>
      <c r="AB597" s="1465"/>
      <c r="AC597" s="1465"/>
      <c r="AD597" s="1465"/>
      <c r="AE597" s="1465"/>
      <c r="AF597"/>
      <c r="AG597"/>
      <c r="AH597" s="33" t="s">
        <v>207</v>
      </c>
      <c r="AI597" s="1489"/>
      <c r="AJ597" s="1489"/>
      <c r="AK597" s="1489"/>
      <c r="AL597"/>
      <c r="AM597"/>
      <c r="AN597"/>
      <c r="AO597"/>
      <c r="AP597"/>
      <c r="AQ597"/>
      <c r="AR597"/>
      <c r="AS597"/>
      <c r="AT597"/>
      <c r="AU597"/>
      <c r="AV597"/>
      <c r="AW597"/>
      <c r="AX597"/>
      <c r="AY597"/>
      <c r="BA597" s="4" t="s">
        <v>326</v>
      </c>
      <c r="BB597" s="3"/>
      <c r="BC597" s="3"/>
      <c r="BD597" s="3"/>
      <c r="BE597" s="1482">
        <f t="shared" ref="BE597:BE631" si="1">IF(AND(AC718&lt;=0.5,AC718&gt;=0.36),1,0)</f>
        <v>0</v>
      </c>
      <c r="BF597" s="1484"/>
      <c r="BG597" s="1492">
        <f t="shared" ref="BG597:BG631" si="2">IF(BE597=1,G718,0)</f>
        <v>0</v>
      </c>
      <c r="BH597" s="1494"/>
      <c r="BI597" s="1482">
        <f t="shared" ref="BI597:BI631" si="3">IF(AND(AC718&lt;=0.35,AC718&gt;0),1,0)</f>
        <v>1</v>
      </c>
      <c r="BJ597" s="1484"/>
      <c r="BK597" s="1492">
        <f t="shared" ref="BK597:BK631" si="4">IF(BI597=1,G718,0)</f>
        <v>7</v>
      </c>
      <c r="BL597" s="1494"/>
      <c r="BM597" s="3"/>
      <c r="BN597" s="1486">
        <f t="shared" ref="BN597:BN631" si="5">IF(B718="SRO/Studio",G718,0)</f>
        <v>0</v>
      </c>
      <c r="BO597" s="1487"/>
      <c r="BP597" s="1487"/>
      <c r="BQ597" s="1487"/>
      <c r="BR597" s="1488"/>
      <c r="BS597" s="1485">
        <f t="shared" ref="BS597:BS631" si="6">IF(B718="1 Bedroom",G718,0)</f>
        <v>7</v>
      </c>
      <c r="BT597" s="1485"/>
      <c r="BU597" s="1485"/>
      <c r="BV597" s="1485"/>
      <c r="BW597" s="1485"/>
      <c r="BX597" s="1485">
        <f t="shared" ref="BX597:BX631" si="7">IF(B718="2 Bedrooms",G718,0)</f>
        <v>0</v>
      </c>
      <c r="BY597" s="1485"/>
      <c r="BZ597" s="1485"/>
      <c r="CA597" s="1485"/>
      <c r="CB597" s="1485"/>
      <c r="CC597" s="1485">
        <f t="shared" ref="CC597:CC631" si="8">IF(B718="3 Bedrooms",G718,0)</f>
        <v>0</v>
      </c>
      <c r="CD597" s="1485"/>
      <c r="CE597" s="1485"/>
      <c r="CF597" s="1485"/>
      <c r="CG597" s="1485"/>
      <c r="CH597" s="1485">
        <f t="shared" ref="CH597:CH631" si="9">IF(B718="4 Bedrooms",G718,0)</f>
        <v>0</v>
      </c>
      <c r="CI597" s="1485"/>
      <c r="CJ597" s="1485"/>
      <c r="CK597" s="1485"/>
      <c r="CL597" s="1485"/>
      <c r="CM597" s="1485">
        <f t="shared" ref="CM597:CM631" si="10">IF(B718="5 Bedrooms",G718,0)</f>
        <v>0</v>
      </c>
      <c r="CN597" s="1485"/>
      <c r="CO597" s="1485"/>
      <c r="CP597" s="1485"/>
      <c r="CQ597" s="1485"/>
      <c r="CR597" s="6"/>
      <c r="CS597" s="1495">
        <f t="shared" ref="CS597:CS631" si="11">IF(AND(B718="SRO/Studio",AC718&lt;=0.3),G718,0)</f>
        <v>0</v>
      </c>
      <c r="CT597" s="1495"/>
      <c r="CU597" s="1495"/>
      <c r="CV597" s="1495"/>
      <c r="CW597" s="1495"/>
      <c r="CX597" s="1495">
        <f t="shared" ref="CX597:CX631" si="12">IF(AND(B718="1 Bedroom",AC718&lt;=0.3),G718,0)</f>
        <v>7</v>
      </c>
      <c r="CY597" s="1495"/>
      <c r="CZ597" s="1495"/>
      <c r="DA597" s="1495"/>
      <c r="DB597" s="1495"/>
      <c r="DC597" s="1495">
        <f t="shared" ref="DC597:DC631" si="13">IF(AND(B718="2 Bedrooms",AC718&lt;=0.3),G718,0)</f>
        <v>0</v>
      </c>
      <c r="DD597" s="1495"/>
      <c r="DE597" s="1495"/>
      <c r="DF597" s="1495"/>
      <c r="DG597" s="1495"/>
      <c r="DH597" s="1495">
        <f t="shared" ref="DH597:DH631" si="14">IF(AND(B718="3 Bedrooms",AC718&lt;=0.3),G718,0)</f>
        <v>0</v>
      </c>
      <c r="DI597" s="1495"/>
      <c r="DJ597" s="1495"/>
      <c r="DK597" s="1495"/>
      <c r="DL597" s="1495"/>
      <c r="DM597" s="1495">
        <f t="shared" ref="DM597:DM631" si="15">IF(AND(B718="4 Bedrooms",AC718&lt;=0.3),G718,0)</f>
        <v>0</v>
      </c>
      <c r="DN597" s="1495"/>
      <c r="DO597" s="1495"/>
      <c r="DP597" s="1495"/>
      <c r="DQ597" s="1495"/>
      <c r="DR597" s="1495">
        <f t="shared" ref="DR597:DR631" si="16">IF(AND(B718="5 Bedrooms",AC718&lt;=0.3),G718,0)</f>
        <v>0</v>
      </c>
      <c r="DS597" s="1495"/>
      <c r="DT597" s="1495"/>
      <c r="DU597" s="1495"/>
      <c r="DV597" s="1495"/>
      <c r="DX597" s="1482" t="str">
        <f t="shared" ref="DX597:DX631" si="17">IF(BN597&gt;0,O718,"")</f>
        <v/>
      </c>
      <c r="DY597" s="1483"/>
      <c r="DZ597" s="1483"/>
      <c r="EA597" s="1483"/>
      <c r="EB597" s="1484"/>
      <c r="EC597" s="1482">
        <f t="shared" ref="EC597:EC631" si="18">IF(BS597&gt;0,O718,"")</f>
        <v>461</v>
      </c>
      <c r="ED597" s="1483"/>
      <c r="EE597" s="1483"/>
      <c r="EF597" s="1483"/>
      <c r="EG597" s="1484"/>
      <c r="EH597" s="1482" t="str">
        <f t="shared" ref="EH597:EH631" si="19">IF(BX597&gt;0,O718,"")</f>
        <v/>
      </c>
      <c r="EI597" s="1483"/>
      <c r="EJ597" s="1483"/>
      <c r="EK597" s="1483"/>
      <c r="EL597" s="1484"/>
      <c r="EM597" s="1482" t="str">
        <f t="shared" ref="EM597:EM631" si="20">IF(CC597&gt;0,O718,"")</f>
        <v/>
      </c>
      <c r="EN597" s="1483"/>
      <c r="EO597" s="1483"/>
      <c r="EP597" s="1483"/>
      <c r="EQ597" s="1484"/>
      <c r="ER597" s="1482" t="str">
        <f t="shared" ref="ER597:ER631" si="21">IF(CH597&gt;0,O718,"")</f>
        <v/>
      </c>
      <c r="ES597" s="1483"/>
      <c r="ET597" s="1483"/>
      <c r="EU597" s="1483"/>
      <c r="EV597" s="1484"/>
      <c r="EW597" s="1482" t="str">
        <f t="shared" ref="EW597:EW631" si="22">IF(CM597&gt;0,O718,"")</f>
        <v/>
      </c>
      <c r="EX597" s="1483"/>
      <c r="EY597" s="1483"/>
      <c r="EZ597" s="1483"/>
      <c r="FA597" s="1484"/>
    </row>
    <row r="598" spans="1:157" s="4" customFormat="1" ht="12.95"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A598" s="4" t="s">
        <v>163</v>
      </c>
      <c r="BB598" s="3"/>
      <c r="BC598" s="3"/>
      <c r="BD598" s="3"/>
      <c r="BE598" s="1482">
        <f t="shared" si="1"/>
        <v>0</v>
      </c>
      <c r="BF598" s="1484"/>
      <c r="BG598" s="1492">
        <f t="shared" si="2"/>
        <v>0</v>
      </c>
      <c r="BH598" s="1494"/>
      <c r="BI598" s="1482">
        <f t="shared" si="3"/>
        <v>1</v>
      </c>
      <c r="BJ598" s="1484"/>
      <c r="BK598" s="1492">
        <f t="shared" si="4"/>
        <v>5</v>
      </c>
      <c r="BL598" s="1494"/>
      <c r="BM598" s="3"/>
      <c r="BN598" s="1486">
        <f t="shared" si="5"/>
        <v>0</v>
      </c>
      <c r="BO598" s="1487"/>
      <c r="BP598" s="1487"/>
      <c r="BQ598" s="1487"/>
      <c r="BR598" s="1488"/>
      <c r="BS598" s="1485">
        <f t="shared" si="6"/>
        <v>0</v>
      </c>
      <c r="BT598" s="1485"/>
      <c r="BU598" s="1485"/>
      <c r="BV598" s="1485"/>
      <c r="BW598" s="1485"/>
      <c r="BX598" s="1485">
        <f t="shared" si="7"/>
        <v>5</v>
      </c>
      <c r="BY598" s="1485"/>
      <c r="BZ598" s="1485"/>
      <c r="CA598" s="1485"/>
      <c r="CB598" s="1485"/>
      <c r="CC598" s="1485">
        <f t="shared" si="8"/>
        <v>0</v>
      </c>
      <c r="CD598" s="1485"/>
      <c r="CE598" s="1485"/>
      <c r="CF598" s="1485"/>
      <c r="CG598" s="1485"/>
      <c r="CH598" s="1485">
        <f t="shared" si="9"/>
        <v>0</v>
      </c>
      <c r="CI598" s="1485"/>
      <c r="CJ598" s="1485"/>
      <c r="CK598" s="1485"/>
      <c r="CL598" s="1485"/>
      <c r="CM598" s="1485">
        <f t="shared" si="10"/>
        <v>0</v>
      </c>
      <c r="CN598" s="1485"/>
      <c r="CO598" s="1485"/>
      <c r="CP598" s="1485"/>
      <c r="CQ598" s="1485"/>
      <c r="CR598" s="6"/>
      <c r="CS598" s="1495">
        <f t="shared" si="11"/>
        <v>0</v>
      </c>
      <c r="CT598" s="1495"/>
      <c r="CU598" s="1495"/>
      <c r="CV598" s="1495"/>
      <c r="CW598" s="1495"/>
      <c r="CX598" s="1495">
        <f t="shared" si="12"/>
        <v>0</v>
      </c>
      <c r="CY598" s="1495"/>
      <c r="CZ598" s="1495"/>
      <c r="DA598" s="1495"/>
      <c r="DB598" s="1495"/>
      <c r="DC598" s="1495">
        <f t="shared" si="13"/>
        <v>5</v>
      </c>
      <c r="DD598" s="1495"/>
      <c r="DE598" s="1495"/>
      <c r="DF598" s="1495"/>
      <c r="DG598" s="1495"/>
      <c r="DH598" s="1495">
        <f t="shared" si="14"/>
        <v>0</v>
      </c>
      <c r="DI598" s="1495"/>
      <c r="DJ598" s="1495"/>
      <c r="DK598" s="1495"/>
      <c r="DL598" s="1495"/>
      <c r="DM598" s="1495">
        <f t="shared" si="15"/>
        <v>0</v>
      </c>
      <c r="DN598" s="1495"/>
      <c r="DO598" s="1495"/>
      <c r="DP598" s="1495"/>
      <c r="DQ598" s="1495"/>
      <c r="DR598" s="1495">
        <f t="shared" si="16"/>
        <v>0</v>
      </c>
      <c r="DS598" s="1495"/>
      <c r="DT598" s="1495"/>
      <c r="DU598" s="1495"/>
      <c r="DV598" s="1495"/>
      <c r="DX598" s="1482" t="str">
        <f t="shared" si="17"/>
        <v/>
      </c>
      <c r="DY598" s="1483"/>
      <c r="DZ598" s="1483"/>
      <c r="EA598" s="1483"/>
      <c r="EB598" s="1484"/>
      <c r="EC598" s="1482" t="str">
        <f t="shared" si="18"/>
        <v/>
      </c>
      <c r="ED598" s="1483"/>
      <c r="EE598" s="1483"/>
      <c r="EF598" s="1483"/>
      <c r="EG598" s="1484"/>
      <c r="EH598" s="1482">
        <f t="shared" si="19"/>
        <v>538</v>
      </c>
      <c r="EI598" s="1483"/>
      <c r="EJ598" s="1483"/>
      <c r="EK598" s="1483"/>
      <c r="EL598" s="1484"/>
      <c r="EM598" s="1482" t="str">
        <f t="shared" si="20"/>
        <v/>
      </c>
      <c r="EN598" s="1483"/>
      <c r="EO598" s="1483"/>
      <c r="EP598" s="1483"/>
      <c r="EQ598" s="1484"/>
      <c r="ER598" s="1482" t="str">
        <f t="shared" si="21"/>
        <v/>
      </c>
      <c r="ES598" s="1483"/>
      <c r="ET598" s="1483"/>
      <c r="EU598" s="1483"/>
      <c r="EV598" s="1484"/>
      <c r="EW598" s="1482" t="str">
        <f t="shared" si="22"/>
        <v/>
      </c>
      <c r="EX598" s="1483"/>
      <c r="EY598" s="1483"/>
      <c r="EZ598" s="1483"/>
      <c r="FA598" s="1484"/>
    </row>
    <row r="599" spans="1:157" ht="12.95" customHeight="1">
      <c r="A599" s="22"/>
      <c r="B599" t="s">
        <v>20</v>
      </c>
      <c r="N599" s="1405" t="s">
        <v>678</v>
      </c>
      <c r="O599" s="1405"/>
      <c r="T599" s="22"/>
      <c r="U599" t="s">
        <v>20</v>
      </c>
      <c r="AG599" s="1405" t="s">
        <v>678</v>
      </c>
      <c r="AH599" s="1405"/>
      <c r="BA599" s="4" t="s">
        <v>164</v>
      </c>
      <c r="BB599" s="3"/>
      <c r="BC599" s="3"/>
      <c r="BD599" s="3"/>
      <c r="BE599" s="1482">
        <f t="shared" si="1"/>
        <v>0</v>
      </c>
      <c r="BF599" s="1484"/>
      <c r="BG599" s="1492">
        <f t="shared" si="2"/>
        <v>0</v>
      </c>
      <c r="BH599" s="1494"/>
      <c r="BI599" s="1482">
        <f t="shared" si="3"/>
        <v>1</v>
      </c>
      <c r="BJ599" s="1484"/>
      <c r="BK599" s="1492">
        <f t="shared" si="4"/>
        <v>4</v>
      </c>
      <c r="BL599" s="1494"/>
      <c r="BM599" s="3"/>
      <c r="BN599" s="1486">
        <f t="shared" si="5"/>
        <v>0</v>
      </c>
      <c r="BO599" s="1487"/>
      <c r="BP599" s="1487"/>
      <c r="BQ599" s="1487"/>
      <c r="BR599" s="1488"/>
      <c r="BS599" s="1485">
        <f t="shared" si="6"/>
        <v>0</v>
      </c>
      <c r="BT599" s="1485"/>
      <c r="BU599" s="1485"/>
      <c r="BV599" s="1485"/>
      <c r="BW599" s="1485"/>
      <c r="BX599" s="1485">
        <f t="shared" si="7"/>
        <v>0</v>
      </c>
      <c r="BY599" s="1485"/>
      <c r="BZ599" s="1485"/>
      <c r="CA599" s="1485"/>
      <c r="CB599" s="1485"/>
      <c r="CC599" s="1485">
        <f t="shared" si="8"/>
        <v>4</v>
      </c>
      <c r="CD599" s="1485"/>
      <c r="CE599" s="1485"/>
      <c r="CF599" s="1485"/>
      <c r="CG599" s="1485"/>
      <c r="CH599" s="1485">
        <f t="shared" si="9"/>
        <v>0</v>
      </c>
      <c r="CI599" s="1485"/>
      <c r="CJ599" s="1485"/>
      <c r="CK599" s="1485"/>
      <c r="CL599" s="1485"/>
      <c r="CM599" s="1485">
        <f t="shared" si="10"/>
        <v>0</v>
      </c>
      <c r="CN599" s="1485"/>
      <c r="CO599" s="1485"/>
      <c r="CP599" s="1485"/>
      <c r="CQ599" s="1485"/>
      <c r="CR599" s="6"/>
      <c r="CS599" s="1495">
        <f t="shared" si="11"/>
        <v>0</v>
      </c>
      <c r="CT599" s="1495"/>
      <c r="CU599" s="1495"/>
      <c r="CV599" s="1495"/>
      <c r="CW599" s="1495"/>
      <c r="CX599" s="1495">
        <f t="shared" si="12"/>
        <v>0</v>
      </c>
      <c r="CY599" s="1495"/>
      <c r="CZ599" s="1495"/>
      <c r="DA599" s="1495"/>
      <c r="DB599" s="1495"/>
      <c r="DC599" s="1495">
        <f t="shared" si="13"/>
        <v>0</v>
      </c>
      <c r="DD599" s="1495"/>
      <c r="DE599" s="1495"/>
      <c r="DF599" s="1495"/>
      <c r="DG599" s="1495"/>
      <c r="DH599" s="1495">
        <f t="shared" si="14"/>
        <v>4</v>
      </c>
      <c r="DI599" s="1495"/>
      <c r="DJ599" s="1495"/>
      <c r="DK599" s="1495"/>
      <c r="DL599" s="1495"/>
      <c r="DM599" s="1495">
        <f t="shared" si="15"/>
        <v>0</v>
      </c>
      <c r="DN599" s="1495"/>
      <c r="DO599" s="1495"/>
      <c r="DP599" s="1495"/>
      <c r="DQ599" s="1495"/>
      <c r="DR599" s="1495">
        <f t="shared" si="16"/>
        <v>0</v>
      </c>
      <c r="DS599" s="1495"/>
      <c r="DT599" s="1495"/>
      <c r="DU599" s="1495"/>
      <c r="DV599" s="1495"/>
      <c r="DX599" s="1482" t="str">
        <f t="shared" si="17"/>
        <v/>
      </c>
      <c r="DY599" s="1483"/>
      <c r="DZ599" s="1483"/>
      <c r="EA599" s="1483"/>
      <c r="EB599" s="1484"/>
      <c r="EC599" s="1482" t="str">
        <f t="shared" si="18"/>
        <v/>
      </c>
      <c r="ED599" s="1483"/>
      <c r="EE599" s="1483"/>
      <c r="EF599" s="1483"/>
      <c r="EG599" s="1484"/>
      <c r="EH599" s="1482" t="str">
        <f t="shared" si="19"/>
        <v/>
      </c>
      <c r="EI599" s="1483"/>
      <c r="EJ599" s="1483"/>
      <c r="EK599" s="1483"/>
      <c r="EL599" s="1484"/>
      <c r="EM599" s="1482">
        <f t="shared" si="20"/>
        <v>610</v>
      </c>
      <c r="EN599" s="1483"/>
      <c r="EO599" s="1483"/>
      <c r="EP599" s="1483"/>
      <c r="EQ599" s="1484"/>
      <c r="ER599" s="1482" t="str">
        <f t="shared" si="21"/>
        <v/>
      </c>
      <c r="ES599" s="1483"/>
      <c r="ET599" s="1483"/>
      <c r="EU599" s="1483"/>
      <c r="EV599" s="1484"/>
      <c r="EW599" s="1482" t="str">
        <f t="shared" si="22"/>
        <v/>
      </c>
      <c r="EX599" s="1483"/>
      <c r="EY599" s="1483"/>
      <c r="EZ599" s="1483"/>
      <c r="FA599" s="1484"/>
    </row>
    <row r="600" spans="1:157" ht="12.95" customHeight="1">
      <c r="A600" s="22"/>
      <c r="T600" s="22"/>
      <c r="BA600" s="4" t="s">
        <v>165</v>
      </c>
      <c r="BB600" s="3"/>
      <c r="BC600" s="3"/>
      <c r="BD600" s="3"/>
      <c r="BE600" s="1482">
        <f t="shared" si="1"/>
        <v>0</v>
      </c>
      <c r="BF600" s="1484"/>
      <c r="BG600" s="1492">
        <f t="shared" si="2"/>
        <v>0</v>
      </c>
      <c r="BH600" s="1494"/>
      <c r="BI600" s="1482">
        <f t="shared" si="3"/>
        <v>1</v>
      </c>
      <c r="BJ600" s="1484"/>
      <c r="BK600" s="1492">
        <f t="shared" si="4"/>
        <v>2</v>
      </c>
      <c r="BL600" s="1494"/>
      <c r="BM600" s="3"/>
      <c r="BN600" s="1486">
        <f t="shared" si="5"/>
        <v>0</v>
      </c>
      <c r="BO600" s="1487"/>
      <c r="BP600" s="1487"/>
      <c r="BQ600" s="1487"/>
      <c r="BR600" s="1488"/>
      <c r="BS600" s="1485">
        <f t="shared" si="6"/>
        <v>0</v>
      </c>
      <c r="BT600" s="1485"/>
      <c r="BU600" s="1485"/>
      <c r="BV600" s="1485"/>
      <c r="BW600" s="1485"/>
      <c r="BX600" s="1485">
        <f t="shared" si="7"/>
        <v>0</v>
      </c>
      <c r="BY600" s="1485"/>
      <c r="BZ600" s="1485"/>
      <c r="CA600" s="1485"/>
      <c r="CB600" s="1485"/>
      <c r="CC600" s="1485">
        <f t="shared" si="8"/>
        <v>0</v>
      </c>
      <c r="CD600" s="1485"/>
      <c r="CE600" s="1485"/>
      <c r="CF600" s="1485"/>
      <c r="CG600" s="1485"/>
      <c r="CH600" s="1485">
        <f t="shared" si="9"/>
        <v>2</v>
      </c>
      <c r="CI600" s="1485"/>
      <c r="CJ600" s="1485"/>
      <c r="CK600" s="1485"/>
      <c r="CL600" s="1485"/>
      <c r="CM600" s="1485">
        <f t="shared" si="10"/>
        <v>0</v>
      </c>
      <c r="CN600" s="1485"/>
      <c r="CO600" s="1485"/>
      <c r="CP600" s="1485"/>
      <c r="CQ600" s="1485"/>
      <c r="CR600" s="6"/>
      <c r="CS600" s="1495">
        <f t="shared" si="11"/>
        <v>0</v>
      </c>
      <c r="CT600" s="1495"/>
      <c r="CU600" s="1495"/>
      <c r="CV600" s="1495"/>
      <c r="CW600" s="1495"/>
      <c r="CX600" s="1495">
        <f t="shared" si="12"/>
        <v>0</v>
      </c>
      <c r="CY600" s="1495"/>
      <c r="CZ600" s="1495"/>
      <c r="DA600" s="1495"/>
      <c r="DB600" s="1495"/>
      <c r="DC600" s="1495">
        <f t="shared" si="13"/>
        <v>0</v>
      </c>
      <c r="DD600" s="1495"/>
      <c r="DE600" s="1495"/>
      <c r="DF600" s="1495"/>
      <c r="DG600" s="1495"/>
      <c r="DH600" s="1495">
        <f t="shared" si="14"/>
        <v>0</v>
      </c>
      <c r="DI600" s="1495"/>
      <c r="DJ600" s="1495"/>
      <c r="DK600" s="1495"/>
      <c r="DL600" s="1495"/>
      <c r="DM600" s="1495">
        <f t="shared" si="15"/>
        <v>2</v>
      </c>
      <c r="DN600" s="1495"/>
      <c r="DO600" s="1495"/>
      <c r="DP600" s="1495"/>
      <c r="DQ600" s="1495"/>
      <c r="DR600" s="1495">
        <f t="shared" si="16"/>
        <v>0</v>
      </c>
      <c r="DS600" s="1495"/>
      <c r="DT600" s="1495"/>
      <c r="DU600" s="1495"/>
      <c r="DV600" s="1495"/>
      <c r="DX600" s="1482" t="str">
        <f t="shared" si="17"/>
        <v/>
      </c>
      <c r="DY600" s="1483"/>
      <c r="DZ600" s="1483"/>
      <c r="EA600" s="1483"/>
      <c r="EB600" s="1484"/>
      <c r="EC600" s="1482" t="str">
        <f t="shared" si="18"/>
        <v/>
      </c>
      <c r="ED600" s="1483"/>
      <c r="EE600" s="1483"/>
      <c r="EF600" s="1483"/>
      <c r="EG600" s="1484"/>
      <c r="EH600" s="1482" t="str">
        <f t="shared" si="19"/>
        <v/>
      </c>
      <c r="EI600" s="1483"/>
      <c r="EJ600" s="1483"/>
      <c r="EK600" s="1483"/>
      <c r="EL600" s="1484"/>
      <c r="EM600" s="1482" t="str">
        <f t="shared" si="20"/>
        <v/>
      </c>
      <c r="EN600" s="1483"/>
      <c r="EO600" s="1483"/>
      <c r="EP600" s="1483"/>
      <c r="EQ600" s="1484"/>
      <c r="ER600" s="1482">
        <f t="shared" si="21"/>
        <v>666</v>
      </c>
      <c r="ES600" s="1483"/>
      <c r="ET600" s="1483"/>
      <c r="EU600" s="1483"/>
      <c r="EV600" s="1484"/>
      <c r="EW600" s="1482" t="str">
        <f t="shared" si="22"/>
        <v/>
      </c>
      <c r="EX600" s="1483"/>
      <c r="EY600" s="1483"/>
      <c r="EZ600" s="1483"/>
      <c r="FA600" s="1484"/>
    </row>
    <row r="601" spans="1:157" ht="12.95" customHeight="1">
      <c r="A601" s="55" t="s">
        <v>470</v>
      </c>
      <c r="B601" t="s">
        <v>472</v>
      </c>
      <c r="G601" s="1451">
        <f>C562</f>
        <v>0</v>
      </c>
      <c r="H601" s="1451"/>
      <c r="I601" s="1451"/>
      <c r="J601" s="1451"/>
      <c r="K601" s="1451"/>
      <c r="L601" s="1451"/>
      <c r="M601" s="1451"/>
      <c r="N601" s="1451"/>
      <c r="O601" s="1451"/>
      <c r="P601" s="1451"/>
      <c r="Q601" s="1451"/>
      <c r="R601" s="1451"/>
      <c r="T601" s="55" t="s">
        <v>655</v>
      </c>
      <c r="U601" t="s">
        <v>472</v>
      </c>
      <c r="Z601" s="1451">
        <f>C563</f>
        <v>0</v>
      </c>
      <c r="AA601" s="1451"/>
      <c r="AB601" s="1451"/>
      <c r="AC601" s="1451"/>
      <c r="AD601" s="1451"/>
      <c r="AE601" s="1451"/>
      <c r="AF601" s="1451"/>
      <c r="AG601" s="1451"/>
      <c r="AH601" s="1451"/>
      <c r="AI601" s="1451"/>
      <c r="AJ601" s="1451"/>
      <c r="AK601" s="1451"/>
      <c r="BA601" s="4" t="s">
        <v>30</v>
      </c>
      <c r="BB601" s="3"/>
      <c r="BC601" s="3"/>
      <c r="BD601" s="3"/>
      <c r="BE601" s="1482">
        <f t="shared" si="1"/>
        <v>1</v>
      </c>
      <c r="BF601" s="1484"/>
      <c r="BG601" s="1492">
        <f t="shared" si="2"/>
        <v>5</v>
      </c>
      <c r="BH601" s="1494"/>
      <c r="BI601" s="1482">
        <f t="shared" si="3"/>
        <v>0</v>
      </c>
      <c r="BJ601" s="1484"/>
      <c r="BK601" s="1492">
        <f t="shared" si="4"/>
        <v>0</v>
      </c>
      <c r="BL601" s="1494"/>
      <c r="BM601" s="3"/>
      <c r="BN601" s="1486">
        <f t="shared" si="5"/>
        <v>0</v>
      </c>
      <c r="BO601" s="1487"/>
      <c r="BP601" s="1487"/>
      <c r="BQ601" s="1487"/>
      <c r="BR601" s="1488"/>
      <c r="BS601" s="1485">
        <f t="shared" si="6"/>
        <v>5</v>
      </c>
      <c r="BT601" s="1485"/>
      <c r="BU601" s="1485"/>
      <c r="BV601" s="1485"/>
      <c r="BW601" s="1485"/>
      <c r="BX601" s="1485">
        <f t="shared" si="7"/>
        <v>0</v>
      </c>
      <c r="BY601" s="1485"/>
      <c r="BZ601" s="1485"/>
      <c r="CA601" s="1485"/>
      <c r="CB601" s="1485"/>
      <c r="CC601" s="1485">
        <f t="shared" si="8"/>
        <v>0</v>
      </c>
      <c r="CD601" s="1485"/>
      <c r="CE601" s="1485"/>
      <c r="CF601" s="1485"/>
      <c r="CG601" s="1485"/>
      <c r="CH601" s="1485">
        <f t="shared" si="9"/>
        <v>0</v>
      </c>
      <c r="CI601" s="1485"/>
      <c r="CJ601" s="1485"/>
      <c r="CK601" s="1485"/>
      <c r="CL601" s="1485"/>
      <c r="CM601" s="1485">
        <f t="shared" si="10"/>
        <v>0</v>
      </c>
      <c r="CN601" s="1485"/>
      <c r="CO601" s="1485"/>
      <c r="CP601" s="1485"/>
      <c r="CQ601" s="1485"/>
      <c r="CR601" s="6"/>
      <c r="CS601" s="1495">
        <f t="shared" si="11"/>
        <v>0</v>
      </c>
      <c r="CT601" s="1495"/>
      <c r="CU601" s="1495"/>
      <c r="CV601" s="1495"/>
      <c r="CW601" s="1495"/>
      <c r="CX601" s="1495">
        <f t="shared" si="12"/>
        <v>0</v>
      </c>
      <c r="CY601" s="1495"/>
      <c r="CZ601" s="1495"/>
      <c r="DA601" s="1495"/>
      <c r="DB601" s="1495"/>
      <c r="DC601" s="1495">
        <f t="shared" si="13"/>
        <v>0</v>
      </c>
      <c r="DD601" s="1495"/>
      <c r="DE601" s="1495"/>
      <c r="DF601" s="1495"/>
      <c r="DG601" s="1495"/>
      <c r="DH601" s="1495">
        <f t="shared" si="14"/>
        <v>0</v>
      </c>
      <c r="DI601" s="1495"/>
      <c r="DJ601" s="1495"/>
      <c r="DK601" s="1495"/>
      <c r="DL601" s="1495"/>
      <c r="DM601" s="1495">
        <f t="shared" si="15"/>
        <v>0</v>
      </c>
      <c r="DN601" s="1495"/>
      <c r="DO601" s="1495"/>
      <c r="DP601" s="1495"/>
      <c r="DQ601" s="1495"/>
      <c r="DR601" s="1495">
        <f t="shared" si="16"/>
        <v>0</v>
      </c>
      <c r="DS601" s="1495"/>
      <c r="DT601" s="1495"/>
      <c r="DU601" s="1495"/>
      <c r="DV601" s="1495"/>
      <c r="DX601" s="1482" t="str">
        <f t="shared" si="17"/>
        <v/>
      </c>
      <c r="DY601" s="1483"/>
      <c r="DZ601" s="1483"/>
      <c r="EA601" s="1483"/>
      <c r="EB601" s="1484"/>
      <c r="EC601" s="1482">
        <f t="shared" si="18"/>
        <v>636</v>
      </c>
      <c r="ED601" s="1483"/>
      <c r="EE601" s="1483"/>
      <c r="EF601" s="1483"/>
      <c r="EG601" s="1484"/>
      <c r="EH601" s="1482" t="str">
        <f t="shared" si="19"/>
        <v/>
      </c>
      <c r="EI601" s="1483"/>
      <c r="EJ601" s="1483"/>
      <c r="EK601" s="1483"/>
      <c r="EL601" s="1484"/>
      <c r="EM601" s="1482" t="str">
        <f t="shared" si="20"/>
        <v/>
      </c>
      <c r="EN601" s="1483"/>
      <c r="EO601" s="1483"/>
      <c r="EP601" s="1483"/>
      <c r="EQ601" s="1484"/>
      <c r="ER601" s="1482" t="str">
        <f t="shared" si="21"/>
        <v/>
      </c>
      <c r="ES601" s="1483"/>
      <c r="ET601" s="1483"/>
      <c r="EU601" s="1483"/>
      <c r="EV601" s="1484"/>
      <c r="EW601" s="1482" t="str">
        <f t="shared" si="22"/>
        <v/>
      </c>
      <c r="EX601" s="1483"/>
      <c r="EY601" s="1483"/>
      <c r="EZ601" s="1483"/>
      <c r="FA601" s="1484"/>
    </row>
    <row r="602" spans="1:157" ht="12.95"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c r="BD602" s="3"/>
      <c r="BE602" s="1482">
        <f t="shared" si="1"/>
        <v>1</v>
      </c>
      <c r="BF602" s="1484"/>
      <c r="BG602" s="1492">
        <f t="shared" si="2"/>
        <v>17</v>
      </c>
      <c r="BH602" s="1494"/>
      <c r="BI602" s="1482">
        <f t="shared" si="3"/>
        <v>0</v>
      </c>
      <c r="BJ602" s="1484"/>
      <c r="BK602" s="1492">
        <f t="shared" si="4"/>
        <v>0</v>
      </c>
      <c r="BL602" s="1494"/>
      <c r="BM602" s="3"/>
      <c r="BN602" s="1486">
        <f t="shared" si="5"/>
        <v>0</v>
      </c>
      <c r="BO602" s="1487"/>
      <c r="BP602" s="1487"/>
      <c r="BQ602" s="1487"/>
      <c r="BR602" s="1488"/>
      <c r="BS602" s="1485">
        <f t="shared" si="6"/>
        <v>17</v>
      </c>
      <c r="BT602" s="1485"/>
      <c r="BU602" s="1485"/>
      <c r="BV602" s="1485"/>
      <c r="BW602" s="1485"/>
      <c r="BX602" s="1485">
        <f t="shared" si="7"/>
        <v>0</v>
      </c>
      <c r="BY602" s="1485"/>
      <c r="BZ602" s="1485"/>
      <c r="CA602" s="1485"/>
      <c r="CB602" s="1485"/>
      <c r="CC602" s="1485">
        <f t="shared" si="8"/>
        <v>0</v>
      </c>
      <c r="CD602" s="1485"/>
      <c r="CE602" s="1485"/>
      <c r="CF602" s="1485"/>
      <c r="CG602" s="1485"/>
      <c r="CH602" s="1485">
        <f t="shared" si="9"/>
        <v>0</v>
      </c>
      <c r="CI602" s="1485"/>
      <c r="CJ602" s="1485"/>
      <c r="CK602" s="1485"/>
      <c r="CL602" s="1485"/>
      <c r="CM602" s="1485">
        <f t="shared" si="10"/>
        <v>0</v>
      </c>
      <c r="CN602" s="1485"/>
      <c r="CO602" s="1485"/>
      <c r="CP602" s="1485"/>
      <c r="CQ602" s="1485"/>
      <c r="CR602" s="6"/>
      <c r="CS602" s="1495">
        <f t="shared" si="11"/>
        <v>0</v>
      </c>
      <c r="CT602" s="1495"/>
      <c r="CU602" s="1495"/>
      <c r="CV602" s="1495"/>
      <c r="CW602" s="1495"/>
      <c r="CX602" s="1495">
        <f t="shared" si="12"/>
        <v>0</v>
      </c>
      <c r="CY602" s="1495"/>
      <c r="CZ602" s="1495"/>
      <c r="DA602" s="1495"/>
      <c r="DB602" s="1495"/>
      <c r="DC602" s="1495">
        <f t="shared" si="13"/>
        <v>0</v>
      </c>
      <c r="DD602" s="1495"/>
      <c r="DE602" s="1495"/>
      <c r="DF602" s="1495"/>
      <c r="DG602" s="1495"/>
      <c r="DH602" s="1495">
        <f t="shared" si="14"/>
        <v>0</v>
      </c>
      <c r="DI602" s="1495"/>
      <c r="DJ602" s="1495"/>
      <c r="DK602" s="1495"/>
      <c r="DL602" s="1495"/>
      <c r="DM602" s="1495">
        <f t="shared" si="15"/>
        <v>0</v>
      </c>
      <c r="DN602" s="1495"/>
      <c r="DO602" s="1495"/>
      <c r="DP602" s="1495"/>
      <c r="DQ602" s="1495"/>
      <c r="DR602" s="1495">
        <f t="shared" si="16"/>
        <v>0</v>
      </c>
      <c r="DS602" s="1495"/>
      <c r="DT602" s="1495"/>
      <c r="DU602" s="1495"/>
      <c r="DV602" s="1495"/>
      <c r="DX602" s="1482" t="str">
        <f t="shared" si="17"/>
        <v/>
      </c>
      <c r="DY602" s="1483"/>
      <c r="DZ602" s="1483"/>
      <c r="EA602" s="1483"/>
      <c r="EB602" s="1484"/>
      <c r="EC602" s="1482">
        <f t="shared" si="18"/>
        <v>636</v>
      </c>
      <c r="ED602" s="1483"/>
      <c r="EE602" s="1483"/>
      <c r="EF602" s="1483"/>
      <c r="EG602" s="1484"/>
      <c r="EH602" s="1482" t="str">
        <f t="shared" si="19"/>
        <v/>
      </c>
      <c r="EI602" s="1483"/>
      <c r="EJ602" s="1483"/>
      <c r="EK602" s="1483"/>
      <c r="EL602" s="1484"/>
      <c r="EM602" s="1482" t="str">
        <f t="shared" si="20"/>
        <v/>
      </c>
      <c r="EN602" s="1483"/>
      <c r="EO602" s="1483"/>
      <c r="EP602" s="1483"/>
      <c r="EQ602" s="1484"/>
      <c r="ER602" s="1482" t="str">
        <f t="shared" si="21"/>
        <v/>
      </c>
      <c r="ES602" s="1483"/>
      <c r="ET602" s="1483"/>
      <c r="EU602" s="1483"/>
      <c r="EV602" s="1484"/>
      <c r="EW602" s="1482" t="str">
        <f t="shared" si="22"/>
        <v/>
      </c>
      <c r="EX602" s="1483"/>
      <c r="EY602" s="1483"/>
      <c r="EZ602" s="1483"/>
      <c r="FA602" s="1484"/>
    </row>
    <row r="603" spans="1:157" ht="12.95" customHeight="1">
      <c r="A603" s="22"/>
      <c r="B603" t="s">
        <v>589</v>
      </c>
      <c r="G603" s="1406"/>
      <c r="H603" s="1406"/>
      <c r="I603" s="1406"/>
      <c r="J603" s="1406"/>
      <c r="K603" s="1406"/>
      <c r="L603" s="1406"/>
      <c r="M603" s="1406"/>
      <c r="N603" s="1406"/>
      <c r="O603" s="1406"/>
      <c r="P603" s="1406"/>
      <c r="Q603" s="1406"/>
      <c r="R603" s="1406"/>
      <c r="T603" s="22"/>
      <c r="U603" t="s">
        <v>589</v>
      </c>
      <c r="Z603" s="1407"/>
      <c r="AA603" s="1407"/>
      <c r="AB603" s="1407"/>
      <c r="AC603" s="1407"/>
      <c r="AD603" s="1407"/>
      <c r="AE603" s="1407"/>
      <c r="AF603" s="1407"/>
      <c r="AG603" s="1407"/>
      <c r="AH603" s="1407"/>
      <c r="AI603" s="1407"/>
      <c r="AJ603" s="1407"/>
      <c r="AK603" s="1407"/>
      <c r="AZ603" s="3"/>
      <c r="BA603" s="3"/>
      <c r="BB603" s="3"/>
      <c r="BC603" s="3"/>
      <c r="BD603" s="3"/>
      <c r="BE603" s="1482">
        <f t="shared" si="1"/>
        <v>1</v>
      </c>
      <c r="BF603" s="1484"/>
      <c r="BG603" s="1492">
        <f t="shared" si="2"/>
        <v>10</v>
      </c>
      <c r="BH603" s="1494"/>
      <c r="BI603" s="1482">
        <f t="shared" si="3"/>
        <v>0</v>
      </c>
      <c r="BJ603" s="1484"/>
      <c r="BK603" s="1492">
        <f t="shared" si="4"/>
        <v>0</v>
      </c>
      <c r="BL603" s="1494"/>
      <c r="BM603" s="3"/>
      <c r="BN603" s="1486">
        <f t="shared" si="5"/>
        <v>0</v>
      </c>
      <c r="BO603" s="1487"/>
      <c r="BP603" s="1487"/>
      <c r="BQ603" s="1487"/>
      <c r="BR603" s="1488"/>
      <c r="BS603" s="1485">
        <f t="shared" si="6"/>
        <v>0</v>
      </c>
      <c r="BT603" s="1485"/>
      <c r="BU603" s="1485"/>
      <c r="BV603" s="1485"/>
      <c r="BW603" s="1485"/>
      <c r="BX603" s="1485">
        <f t="shared" si="7"/>
        <v>10</v>
      </c>
      <c r="BY603" s="1485"/>
      <c r="BZ603" s="1485"/>
      <c r="CA603" s="1485"/>
      <c r="CB603" s="1485"/>
      <c r="CC603" s="1485">
        <f t="shared" si="8"/>
        <v>0</v>
      </c>
      <c r="CD603" s="1485"/>
      <c r="CE603" s="1485"/>
      <c r="CF603" s="1485"/>
      <c r="CG603" s="1485"/>
      <c r="CH603" s="1485">
        <f t="shared" si="9"/>
        <v>0</v>
      </c>
      <c r="CI603" s="1485"/>
      <c r="CJ603" s="1485"/>
      <c r="CK603" s="1485"/>
      <c r="CL603" s="1485"/>
      <c r="CM603" s="1485">
        <f t="shared" si="10"/>
        <v>0</v>
      </c>
      <c r="CN603" s="1485"/>
      <c r="CO603" s="1485"/>
      <c r="CP603" s="1485"/>
      <c r="CQ603" s="1485"/>
      <c r="CR603" s="6"/>
      <c r="CS603" s="1495">
        <f t="shared" si="11"/>
        <v>0</v>
      </c>
      <c r="CT603" s="1495"/>
      <c r="CU603" s="1495"/>
      <c r="CV603" s="1495"/>
      <c r="CW603" s="1495"/>
      <c r="CX603" s="1495">
        <f t="shared" si="12"/>
        <v>0</v>
      </c>
      <c r="CY603" s="1495"/>
      <c r="CZ603" s="1495"/>
      <c r="DA603" s="1495"/>
      <c r="DB603" s="1495"/>
      <c r="DC603" s="1495">
        <f t="shared" si="13"/>
        <v>0</v>
      </c>
      <c r="DD603" s="1495"/>
      <c r="DE603" s="1495"/>
      <c r="DF603" s="1495"/>
      <c r="DG603" s="1495"/>
      <c r="DH603" s="1495">
        <f t="shared" si="14"/>
        <v>0</v>
      </c>
      <c r="DI603" s="1495"/>
      <c r="DJ603" s="1495"/>
      <c r="DK603" s="1495"/>
      <c r="DL603" s="1495"/>
      <c r="DM603" s="1495">
        <f t="shared" si="15"/>
        <v>0</v>
      </c>
      <c r="DN603" s="1495"/>
      <c r="DO603" s="1495"/>
      <c r="DP603" s="1495"/>
      <c r="DQ603" s="1495"/>
      <c r="DR603" s="1495">
        <f t="shared" si="16"/>
        <v>0</v>
      </c>
      <c r="DS603" s="1495"/>
      <c r="DT603" s="1495"/>
      <c r="DU603" s="1495"/>
      <c r="DV603" s="1495"/>
      <c r="DX603" s="1482" t="str">
        <f t="shared" si="17"/>
        <v/>
      </c>
      <c r="DY603" s="1483"/>
      <c r="DZ603" s="1483"/>
      <c r="EA603" s="1483"/>
      <c r="EB603" s="1484"/>
      <c r="EC603" s="1482" t="str">
        <f t="shared" si="18"/>
        <v/>
      </c>
      <c r="ED603" s="1483"/>
      <c r="EE603" s="1483"/>
      <c r="EF603" s="1483"/>
      <c r="EG603" s="1484"/>
      <c r="EH603" s="1482">
        <f t="shared" si="19"/>
        <v>748</v>
      </c>
      <c r="EI603" s="1483"/>
      <c r="EJ603" s="1483"/>
      <c r="EK603" s="1483"/>
      <c r="EL603" s="1484"/>
      <c r="EM603" s="1482" t="str">
        <f t="shared" si="20"/>
        <v/>
      </c>
      <c r="EN603" s="1483"/>
      <c r="EO603" s="1483"/>
      <c r="EP603" s="1483"/>
      <c r="EQ603" s="1484"/>
      <c r="ER603" s="1482" t="str">
        <f t="shared" si="21"/>
        <v/>
      </c>
      <c r="ES603" s="1483"/>
      <c r="ET603" s="1483"/>
      <c r="EU603" s="1483"/>
      <c r="EV603" s="1484"/>
      <c r="EW603" s="1482" t="str">
        <f t="shared" si="22"/>
        <v/>
      </c>
      <c r="EX603" s="1483"/>
      <c r="EY603" s="1483"/>
      <c r="EZ603" s="1483"/>
      <c r="FA603" s="1484"/>
    </row>
    <row r="604" spans="1:157" ht="12.95" customHeight="1">
      <c r="A604" s="22"/>
      <c r="B604" t="s">
        <v>17</v>
      </c>
      <c r="G604" s="1406"/>
      <c r="H604" s="1406"/>
      <c r="I604" s="1406"/>
      <c r="J604" s="1406"/>
      <c r="K604" s="1406"/>
      <c r="L604" s="1406"/>
      <c r="M604" s="1406"/>
      <c r="N604" s="1406"/>
      <c r="O604" s="1406"/>
      <c r="P604" s="1406"/>
      <c r="Q604" s="1406"/>
      <c r="R604" s="1406"/>
      <c r="T604" s="22"/>
      <c r="U604" t="s">
        <v>17</v>
      </c>
      <c r="Z604" s="1407"/>
      <c r="AA604" s="1407"/>
      <c r="AB604" s="1407"/>
      <c r="AC604" s="1407"/>
      <c r="AD604" s="1407"/>
      <c r="AE604" s="1407"/>
      <c r="AF604" s="1407"/>
      <c r="AG604" s="1407"/>
      <c r="AH604" s="1407"/>
      <c r="AI604" s="1407"/>
      <c r="AJ604" s="1407"/>
      <c r="AK604" s="1407"/>
      <c r="AZ604" s="3"/>
      <c r="BA604" s="3"/>
      <c r="BB604" s="3"/>
      <c r="BC604" s="3"/>
      <c r="BD604" s="3"/>
      <c r="BE604" s="1482">
        <f t="shared" si="1"/>
        <v>1</v>
      </c>
      <c r="BF604" s="1484"/>
      <c r="BG604" s="1492">
        <f t="shared" si="2"/>
        <v>8</v>
      </c>
      <c r="BH604" s="1494"/>
      <c r="BI604" s="1482">
        <f t="shared" si="3"/>
        <v>0</v>
      </c>
      <c r="BJ604" s="1484"/>
      <c r="BK604" s="1492">
        <f t="shared" si="4"/>
        <v>0</v>
      </c>
      <c r="BL604" s="1494"/>
      <c r="BM604" s="3"/>
      <c r="BN604" s="1486">
        <f t="shared" si="5"/>
        <v>0</v>
      </c>
      <c r="BO604" s="1487"/>
      <c r="BP604" s="1487"/>
      <c r="BQ604" s="1487"/>
      <c r="BR604" s="1488"/>
      <c r="BS604" s="1485">
        <f t="shared" si="6"/>
        <v>0</v>
      </c>
      <c r="BT604" s="1485"/>
      <c r="BU604" s="1485"/>
      <c r="BV604" s="1485"/>
      <c r="BW604" s="1485"/>
      <c r="BX604" s="1485">
        <f t="shared" si="7"/>
        <v>0</v>
      </c>
      <c r="BY604" s="1485"/>
      <c r="BZ604" s="1485"/>
      <c r="CA604" s="1485"/>
      <c r="CB604" s="1485"/>
      <c r="CC604" s="1485">
        <f t="shared" si="8"/>
        <v>8</v>
      </c>
      <c r="CD604" s="1485"/>
      <c r="CE604" s="1485"/>
      <c r="CF604" s="1485"/>
      <c r="CG604" s="1485"/>
      <c r="CH604" s="1485">
        <f t="shared" si="9"/>
        <v>0</v>
      </c>
      <c r="CI604" s="1485"/>
      <c r="CJ604" s="1485"/>
      <c r="CK604" s="1485"/>
      <c r="CL604" s="1485"/>
      <c r="CM604" s="1485">
        <f t="shared" si="10"/>
        <v>0</v>
      </c>
      <c r="CN604" s="1485"/>
      <c r="CO604" s="1485"/>
      <c r="CP604" s="1485"/>
      <c r="CQ604" s="1485"/>
      <c r="CR604" s="6"/>
      <c r="CS604" s="1495">
        <f t="shared" si="11"/>
        <v>0</v>
      </c>
      <c r="CT604" s="1495"/>
      <c r="CU604" s="1495"/>
      <c r="CV604" s="1495"/>
      <c r="CW604" s="1495"/>
      <c r="CX604" s="1495">
        <f t="shared" si="12"/>
        <v>0</v>
      </c>
      <c r="CY604" s="1495"/>
      <c r="CZ604" s="1495"/>
      <c r="DA604" s="1495"/>
      <c r="DB604" s="1495"/>
      <c r="DC604" s="1495">
        <f t="shared" si="13"/>
        <v>0</v>
      </c>
      <c r="DD604" s="1495"/>
      <c r="DE604" s="1495"/>
      <c r="DF604" s="1495"/>
      <c r="DG604" s="1495"/>
      <c r="DH604" s="1495">
        <f t="shared" si="14"/>
        <v>0</v>
      </c>
      <c r="DI604" s="1495"/>
      <c r="DJ604" s="1495"/>
      <c r="DK604" s="1495"/>
      <c r="DL604" s="1495"/>
      <c r="DM604" s="1495">
        <f t="shared" si="15"/>
        <v>0</v>
      </c>
      <c r="DN604" s="1495"/>
      <c r="DO604" s="1495"/>
      <c r="DP604" s="1495"/>
      <c r="DQ604" s="1495"/>
      <c r="DR604" s="1495">
        <f t="shared" si="16"/>
        <v>0</v>
      </c>
      <c r="DS604" s="1495"/>
      <c r="DT604" s="1495"/>
      <c r="DU604" s="1495"/>
      <c r="DV604" s="1495"/>
      <c r="DX604" s="1482" t="str">
        <f t="shared" si="17"/>
        <v/>
      </c>
      <c r="DY604" s="1483"/>
      <c r="DZ604" s="1483"/>
      <c r="EA604" s="1483"/>
      <c r="EB604" s="1484"/>
      <c r="EC604" s="1482" t="str">
        <f t="shared" si="18"/>
        <v/>
      </c>
      <c r="ED604" s="1483"/>
      <c r="EE604" s="1483"/>
      <c r="EF604" s="1483"/>
      <c r="EG604" s="1484"/>
      <c r="EH604" s="1482" t="str">
        <f t="shared" si="19"/>
        <v/>
      </c>
      <c r="EI604" s="1483"/>
      <c r="EJ604" s="1483"/>
      <c r="EK604" s="1483"/>
      <c r="EL604" s="1484"/>
      <c r="EM604" s="1482">
        <f t="shared" si="20"/>
        <v>852</v>
      </c>
      <c r="EN604" s="1483"/>
      <c r="EO604" s="1483"/>
      <c r="EP604" s="1483"/>
      <c r="EQ604" s="1484"/>
      <c r="ER604" s="1482" t="str">
        <f t="shared" si="21"/>
        <v/>
      </c>
      <c r="ES604" s="1483"/>
      <c r="ET604" s="1483"/>
      <c r="EU604" s="1483"/>
      <c r="EV604" s="1484"/>
      <c r="EW604" s="1482" t="str">
        <f t="shared" si="22"/>
        <v/>
      </c>
      <c r="EX604" s="1483"/>
      <c r="EY604" s="1483"/>
      <c r="EZ604" s="1483"/>
      <c r="FA604" s="1484"/>
    </row>
    <row r="605" spans="1:157" s="4" customFormat="1" ht="12.95" customHeight="1">
      <c r="A605" s="22"/>
      <c r="B605" t="s">
        <v>317</v>
      </c>
      <c r="C605"/>
      <c r="D605"/>
      <c r="E605"/>
      <c r="F605"/>
      <c r="G605" s="1465"/>
      <c r="H605" s="1465"/>
      <c r="I605" s="1465"/>
      <c r="J605" s="1465"/>
      <c r="K605" s="1465"/>
      <c r="L605" s="1465"/>
      <c r="M605"/>
      <c r="N605"/>
      <c r="O605" s="33" t="s">
        <v>207</v>
      </c>
      <c r="P605" s="1489"/>
      <c r="Q605" s="1489"/>
      <c r="R605" s="1489"/>
      <c r="S605"/>
      <c r="T605" s="22"/>
      <c r="U605" t="s">
        <v>317</v>
      </c>
      <c r="V605"/>
      <c r="W605"/>
      <c r="X605"/>
      <c r="Y605"/>
      <c r="Z605" s="1465"/>
      <c r="AA605" s="1465"/>
      <c r="AB605" s="1465"/>
      <c r="AC605" s="1465"/>
      <c r="AD605" s="1465"/>
      <c r="AE605" s="1465"/>
      <c r="AF605"/>
      <c r="AG605"/>
      <c r="AH605" s="33" t="s">
        <v>207</v>
      </c>
      <c r="AI605" s="1489"/>
      <c r="AJ605" s="1489"/>
      <c r="AK605" s="1489"/>
      <c r="AL605"/>
      <c r="AM605"/>
      <c r="AN605"/>
      <c r="AO605"/>
      <c r="AP605"/>
      <c r="AQ605"/>
      <c r="AR605"/>
      <c r="AS605"/>
      <c r="AT605"/>
      <c r="AU605"/>
      <c r="AV605"/>
      <c r="AW605"/>
      <c r="AX605"/>
      <c r="AY605"/>
      <c r="AZ605" s="3"/>
      <c r="BA605" s="3"/>
      <c r="BB605" s="3"/>
      <c r="BC605" s="3"/>
      <c r="BD605" s="3"/>
      <c r="BE605" s="1482">
        <f t="shared" si="1"/>
        <v>1</v>
      </c>
      <c r="BF605" s="1484"/>
      <c r="BG605" s="1492">
        <f t="shared" si="2"/>
        <v>2</v>
      </c>
      <c r="BH605" s="1494"/>
      <c r="BI605" s="1482">
        <f t="shared" si="3"/>
        <v>0</v>
      </c>
      <c r="BJ605" s="1484"/>
      <c r="BK605" s="1492">
        <f t="shared" si="4"/>
        <v>0</v>
      </c>
      <c r="BL605" s="1494"/>
      <c r="BM605" s="3"/>
      <c r="BN605" s="1486">
        <f t="shared" si="5"/>
        <v>0</v>
      </c>
      <c r="BO605" s="1487"/>
      <c r="BP605" s="1487"/>
      <c r="BQ605" s="1487"/>
      <c r="BR605" s="1488"/>
      <c r="BS605" s="1485">
        <f t="shared" si="6"/>
        <v>0</v>
      </c>
      <c r="BT605" s="1485"/>
      <c r="BU605" s="1485"/>
      <c r="BV605" s="1485"/>
      <c r="BW605" s="1485"/>
      <c r="BX605" s="1485">
        <f t="shared" si="7"/>
        <v>0</v>
      </c>
      <c r="BY605" s="1485"/>
      <c r="BZ605" s="1485"/>
      <c r="CA605" s="1485"/>
      <c r="CB605" s="1485"/>
      <c r="CC605" s="1485">
        <f t="shared" si="8"/>
        <v>0</v>
      </c>
      <c r="CD605" s="1485"/>
      <c r="CE605" s="1485"/>
      <c r="CF605" s="1485"/>
      <c r="CG605" s="1485"/>
      <c r="CH605" s="1485">
        <f t="shared" si="9"/>
        <v>2</v>
      </c>
      <c r="CI605" s="1485"/>
      <c r="CJ605" s="1485"/>
      <c r="CK605" s="1485"/>
      <c r="CL605" s="1485"/>
      <c r="CM605" s="1485">
        <f t="shared" si="10"/>
        <v>0</v>
      </c>
      <c r="CN605" s="1485"/>
      <c r="CO605" s="1485"/>
      <c r="CP605" s="1485"/>
      <c r="CQ605" s="1485"/>
      <c r="CR605" s="6"/>
      <c r="CS605" s="1495">
        <f t="shared" si="11"/>
        <v>0</v>
      </c>
      <c r="CT605" s="1495"/>
      <c r="CU605" s="1495"/>
      <c r="CV605" s="1495"/>
      <c r="CW605" s="1495"/>
      <c r="CX605" s="1495">
        <f t="shared" si="12"/>
        <v>0</v>
      </c>
      <c r="CY605" s="1495"/>
      <c r="CZ605" s="1495"/>
      <c r="DA605" s="1495"/>
      <c r="DB605" s="1495"/>
      <c r="DC605" s="1495">
        <f t="shared" si="13"/>
        <v>0</v>
      </c>
      <c r="DD605" s="1495"/>
      <c r="DE605" s="1495"/>
      <c r="DF605" s="1495"/>
      <c r="DG605" s="1495"/>
      <c r="DH605" s="1495">
        <f t="shared" si="14"/>
        <v>0</v>
      </c>
      <c r="DI605" s="1495"/>
      <c r="DJ605" s="1495"/>
      <c r="DK605" s="1495"/>
      <c r="DL605" s="1495"/>
      <c r="DM605" s="1495">
        <f t="shared" si="15"/>
        <v>0</v>
      </c>
      <c r="DN605" s="1495"/>
      <c r="DO605" s="1495"/>
      <c r="DP605" s="1495"/>
      <c r="DQ605" s="1495"/>
      <c r="DR605" s="1495">
        <f t="shared" si="16"/>
        <v>0</v>
      </c>
      <c r="DS605" s="1495"/>
      <c r="DT605" s="1495"/>
      <c r="DU605" s="1495"/>
      <c r="DV605" s="1495"/>
      <c r="DX605" s="1482" t="str">
        <f t="shared" si="17"/>
        <v/>
      </c>
      <c r="DY605" s="1483"/>
      <c r="DZ605" s="1483"/>
      <c r="EA605" s="1483"/>
      <c r="EB605" s="1484"/>
      <c r="EC605" s="1482" t="str">
        <f t="shared" si="18"/>
        <v/>
      </c>
      <c r="ED605" s="1483"/>
      <c r="EE605" s="1483"/>
      <c r="EF605" s="1483"/>
      <c r="EG605" s="1484"/>
      <c r="EH605" s="1482" t="str">
        <f t="shared" si="19"/>
        <v/>
      </c>
      <c r="EI605" s="1483"/>
      <c r="EJ605" s="1483"/>
      <c r="EK605" s="1483"/>
      <c r="EL605" s="1484"/>
      <c r="EM605" s="1482" t="str">
        <f t="shared" si="20"/>
        <v/>
      </c>
      <c r="EN605" s="1483"/>
      <c r="EO605" s="1483"/>
      <c r="EP605" s="1483"/>
      <c r="EQ605" s="1484"/>
      <c r="ER605" s="1482">
        <f t="shared" si="21"/>
        <v>937</v>
      </c>
      <c r="ES605" s="1483"/>
      <c r="ET605" s="1483"/>
      <c r="EU605" s="1483"/>
      <c r="EV605" s="1484"/>
      <c r="EW605" s="1482" t="str">
        <f t="shared" si="22"/>
        <v/>
      </c>
      <c r="EX605" s="1483"/>
      <c r="EY605" s="1483"/>
      <c r="EZ605" s="1483"/>
      <c r="FA605" s="1484"/>
    </row>
    <row r="606" spans="1:157" s="4" customFormat="1" ht="12.95"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c r="BD606" s="3"/>
      <c r="BE606" s="1482">
        <f t="shared" si="1"/>
        <v>1</v>
      </c>
      <c r="BF606" s="1484"/>
      <c r="BG606" s="1492">
        <f t="shared" si="2"/>
        <v>4</v>
      </c>
      <c r="BH606" s="1494"/>
      <c r="BI606" s="1482">
        <f t="shared" si="3"/>
        <v>0</v>
      </c>
      <c r="BJ606" s="1484"/>
      <c r="BK606" s="1492">
        <f t="shared" si="4"/>
        <v>0</v>
      </c>
      <c r="BL606" s="1494"/>
      <c r="BM606" s="3"/>
      <c r="BN606" s="1486">
        <f t="shared" si="5"/>
        <v>0</v>
      </c>
      <c r="BO606" s="1487"/>
      <c r="BP606" s="1487"/>
      <c r="BQ606" s="1487"/>
      <c r="BR606" s="1488"/>
      <c r="BS606" s="1485">
        <f t="shared" si="6"/>
        <v>4</v>
      </c>
      <c r="BT606" s="1485"/>
      <c r="BU606" s="1485"/>
      <c r="BV606" s="1485"/>
      <c r="BW606" s="1485"/>
      <c r="BX606" s="1485">
        <f t="shared" si="7"/>
        <v>0</v>
      </c>
      <c r="BY606" s="1485"/>
      <c r="BZ606" s="1485"/>
      <c r="CA606" s="1485"/>
      <c r="CB606" s="1485"/>
      <c r="CC606" s="1485">
        <f t="shared" si="8"/>
        <v>0</v>
      </c>
      <c r="CD606" s="1485"/>
      <c r="CE606" s="1485"/>
      <c r="CF606" s="1485"/>
      <c r="CG606" s="1485"/>
      <c r="CH606" s="1485">
        <f t="shared" si="9"/>
        <v>0</v>
      </c>
      <c r="CI606" s="1485"/>
      <c r="CJ606" s="1485"/>
      <c r="CK606" s="1485"/>
      <c r="CL606" s="1485"/>
      <c r="CM606" s="1485">
        <f t="shared" si="10"/>
        <v>0</v>
      </c>
      <c r="CN606" s="1485"/>
      <c r="CO606" s="1485"/>
      <c r="CP606" s="1485"/>
      <c r="CQ606" s="1485"/>
      <c r="CR606" s="6"/>
      <c r="CS606" s="1495">
        <f t="shared" si="11"/>
        <v>0</v>
      </c>
      <c r="CT606" s="1495"/>
      <c r="CU606" s="1495"/>
      <c r="CV606" s="1495"/>
      <c r="CW606" s="1495"/>
      <c r="CX606" s="1495">
        <f t="shared" si="12"/>
        <v>0</v>
      </c>
      <c r="CY606" s="1495"/>
      <c r="CZ606" s="1495"/>
      <c r="DA606" s="1495"/>
      <c r="DB606" s="1495"/>
      <c r="DC606" s="1495">
        <f t="shared" si="13"/>
        <v>0</v>
      </c>
      <c r="DD606" s="1495"/>
      <c r="DE606" s="1495"/>
      <c r="DF606" s="1495"/>
      <c r="DG606" s="1495"/>
      <c r="DH606" s="1495">
        <f t="shared" si="14"/>
        <v>0</v>
      </c>
      <c r="DI606" s="1495"/>
      <c r="DJ606" s="1495"/>
      <c r="DK606" s="1495"/>
      <c r="DL606" s="1495"/>
      <c r="DM606" s="1495">
        <f t="shared" si="15"/>
        <v>0</v>
      </c>
      <c r="DN606" s="1495"/>
      <c r="DO606" s="1495"/>
      <c r="DP606" s="1495"/>
      <c r="DQ606" s="1495"/>
      <c r="DR606" s="1495">
        <f t="shared" si="16"/>
        <v>0</v>
      </c>
      <c r="DS606" s="1495"/>
      <c r="DT606" s="1495"/>
      <c r="DU606" s="1495"/>
      <c r="DV606" s="1495"/>
      <c r="DX606" s="1482" t="str">
        <f t="shared" si="17"/>
        <v/>
      </c>
      <c r="DY606" s="1483"/>
      <c r="DZ606" s="1483"/>
      <c r="EA606" s="1483"/>
      <c r="EB606" s="1484"/>
      <c r="EC606" s="1482">
        <f t="shared" si="18"/>
        <v>811</v>
      </c>
      <c r="ED606" s="1483"/>
      <c r="EE606" s="1483"/>
      <c r="EF606" s="1483"/>
      <c r="EG606" s="1484"/>
      <c r="EH606" s="1482" t="str">
        <f t="shared" si="19"/>
        <v/>
      </c>
      <c r="EI606" s="1483"/>
      <c r="EJ606" s="1483"/>
      <c r="EK606" s="1483"/>
      <c r="EL606" s="1484"/>
      <c r="EM606" s="1482" t="str">
        <f t="shared" si="20"/>
        <v/>
      </c>
      <c r="EN606" s="1483"/>
      <c r="EO606" s="1483"/>
      <c r="EP606" s="1483"/>
      <c r="EQ606" s="1484"/>
      <c r="ER606" s="1482" t="str">
        <f t="shared" si="21"/>
        <v/>
      </c>
      <c r="ES606" s="1483"/>
      <c r="ET606" s="1483"/>
      <c r="EU606" s="1483"/>
      <c r="EV606" s="1484"/>
      <c r="EW606" s="1482" t="str">
        <f t="shared" si="22"/>
        <v/>
      </c>
      <c r="EX606" s="1483"/>
      <c r="EY606" s="1483"/>
      <c r="EZ606" s="1483"/>
      <c r="FA606" s="1484"/>
    </row>
    <row r="607" spans="1:157" s="4" customFormat="1" ht="12.95" customHeight="1">
      <c r="A607" s="22"/>
      <c r="B607" t="s">
        <v>20</v>
      </c>
      <c r="C607"/>
      <c r="D607"/>
      <c r="E607"/>
      <c r="F607"/>
      <c r="G607"/>
      <c r="H607"/>
      <c r="I607"/>
      <c r="J607"/>
      <c r="K607"/>
      <c r="L607"/>
      <c r="M607"/>
      <c r="N607" s="1405" t="s">
        <v>678</v>
      </c>
      <c r="O607" s="1405"/>
      <c r="P607"/>
      <c r="Q607"/>
      <c r="R607"/>
      <c r="S607"/>
      <c r="T607" s="22"/>
      <c r="U607" t="s">
        <v>20</v>
      </c>
      <c r="V607"/>
      <c r="W607"/>
      <c r="X607"/>
      <c r="Y607"/>
      <c r="Z607"/>
      <c r="AA607"/>
      <c r="AB607"/>
      <c r="AC607"/>
      <c r="AD607"/>
      <c r="AE607"/>
      <c r="AF607"/>
      <c r="AG607" s="1405" t="s">
        <v>678</v>
      </c>
      <c r="AH607" s="1405"/>
      <c r="AI607"/>
      <c r="AJ607"/>
      <c r="AK607"/>
      <c r="AL607"/>
      <c r="AM607"/>
      <c r="AN607"/>
      <c r="AO607"/>
      <c r="AP607"/>
      <c r="AQ607"/>
      <c r="AR607"/>
      <c r="AS607"/>
      <c r="AT607"/>
      <c r="AU607"/>
      <c r="AV607"/>
      <c r="AW607"/>
      <c r="AX607"/>
      <c r="AY607"/>
      <c r="AZ607" s="3"/>
      <c r="BA607" s="3"/>
      <c r="BB607" s="3"/>
      <c r="BC607" s="3"/>
      <c r="BD607" s="3"/>
      <c r="BE607" s="1482">
        <f t="shared" si="1"/>
        <v>1</v>
      </c>
      <c r="BF607" s="1484"/>
      <c r="BG607" s="1492">
        <f t="shared" si="2"/>
        <v>20</v>
      </c>
      <c r="BH607" s="1494"/>
      <c r="BI607" s="1482">
        <f t="shared" si="3"/>
        <v>0</v>
      </c>
      <c r="BJ607" s="1484"/>
      <c r="BK607" s="1492">
        <f t="shared" si="4"/>
        <v>0</v>
      </c>
      <c r="BL607" s="1494"/>
      <c r="BM607" s="3"/>
      <c r="BN607" s="1486">
        <f t="shared" si="5"/>
        <v>0</v>
      </c>
      <c r="BO607" s="1487"/>
      <c r="BP607" s="1487"/>
      <c r="BQ607" s="1487"/>
      <c r="BR607" s="1488"/>
      <c r="BS607" s="1485">
        <f t="shared" si="6"/>
        <v>20</v>
      </c>
      <c r="BT607" s="1485"/>
      <c r="BU607" s="1485"/>
      <c r="BV607" s="1485"/>
      <c r="BW607" s="1485"/>
      <c r="BX607" s="1485">
        <f t="shared" si="7"/>
        <v>0</v>
      </c>
      <c r="BY607" s="1485"/>
      <c r="BZ607" s="1485"/>
      <c r="CA607" s="1485"/>
      <c r="CB607" s="1485"/>
      <c r="CC607" s="1485">
        <f t="shared" si="8"/>
        <v>0</v>
      </c>
      <c r="CD607" s="1485"/>
      <c r="CE607" s="1485"/>
      <c r="CF607" s="1485"/>
      <c r="CG607" s="1485"/>
      <c r="CH607" s="1485">
        <f t="shared" si="9"/>
        <v>0</v>
      </c>
      <c r="CI607" s="1485"/>
      <c r="CJ607" s="1485"/>
      <c r="CK607" s="1485"/>
      <c r="CL607" s="1485"/>
      <c r="CM607" s="1485">
        <f t="shared" si="10"/>
        <v>0</v>
      </c>
      <c r="CN607" s="1485"/>
      <c r="CO607" s="1485"/>
      <c r="CP607" s="1485"/>
      <c r="CQ607" s="1485"/>
      <c r="CR607" s="6"/>
      <c r="CS607" s="1495">
        <f t="shared" si="11"/>
        <v>0</v>
      </c>
      <c r="CT607" s="1495"/>
      <c r="CU607" s="1495"/>
      <c r="CV607" s="1495"/>
      <c r="CW607" s="1495"/>
      <c r="CX607" s="1495">
        <f t="shared" si="12"/>
        <v>0</v>
      </c>
      <c r="CY607" s="1495"/>
      <c r="CZ607" s="1495"/>
      <c r="DA607" s="1495"/>
      <c r="DB607" s="1495"/>
      <c r="DC607" s="1495">
        <f t="shared" si="13"/>
        <v>0</v>
      </c>
      <c r="DD607" s="1495"/>
      <c r="DE607" s="1495"/>
      <c r="DF607" s="1495"/>
      <c r="DG607" s="1495"/>
      <c r="DH607" s="1495">
        <f t="shared" si="14"/>
        <v>0</v>
      </c>
      <c r="DI607" s="1495"/>
      <c r="DJ607" s="1495"/>
      <c r="DK607" s="1495"/>
      <c r="DL607" s="1495"/>
      <c r="DM607" s="1495">
        <f t="shared" si="15"/>
        <v>0</v>
      </c>
      <c r="DN607" s="1495"/>
      <c r="DO607" s="1495"/>
      <c r="DP607" s="1495"/>
      <c r="DQ607" s="1495"/>
      <c r="DR607" s="1495">
        <f t="shared" si="16"/>
        <v>0</v>
      </c>
      <c r="DS607" s="1495"/>
      <c r="DT607" s="1495"/>
      <c r="DU607" s="1495"/>
      <c r="DV607" s="1495"/>
      <c r="DX607" s="1482" t="str">
        <f t="shared" si="17"/>
        <v/>
      </c>
      <c r="DY607" s="1483"/>
      <c r="DZ607" s="1483"/>
      <c r="EA607" s="1483"/>
      <c r="EB607" s="1484"/>
      <c r="EC607" s="1482">
        <f t="shared" si="18"/>
        <v>811</v>
      </c>
      <c r="ED607" s="1483"/>
      <c r="EE607" s="1483"/>
      <c r="EF607" s="1483"/>
      <c r="EG607" s="1484"/>
      <c r="EH607" s="1482" t="str">
        <f t="shared" si="19"/>
        <v/>
      </c>
      <c r="EI607" s="1483"/>
      <c r="EJ607" s="1483"/>
      <c r="EK607" s="1483"/>
      <c r="EL607" s="1484"/>
      <c r="EM607" s="1482" t="str">
        <f t="shared" si="20"/>
        <v/>
      </c>
      <c r="EN607" s="1483"/>
      <c r="EO607" s="1483"/>
      <c r="EP607" s="1483"/>
      <c r="EQ607" s="1484"/>
      <c r="ER607" s="1482" t="str">
        <f t="shared" si="21"/>
        <v/>
      </c>
      <c r="ES607" s="1483"/>
      <c r="ET607" s="1483"/>
      <c r="EU607" s="1483"/>
      <c r="EV607" s="1484"/>
      <c r="EW607" s="1482" t="str">
        <f t="shared" si="22"/>
        <v/>
      </c>
      <c r="EX607" s="1483"/>
      <c r="EY607" s="1483"/>
      <c r="EZ607" s="1483"/>
      <c r="FA607" s="1484"/>
    </row>
    <row r="608" spans="1:157" ht="12.95" customHeight="1">
      <c r="A608" s="22"/>
      <c r="T608" s="22"/>
      <c r="AZ608" s="3"/>
      <c r="BA608" s="3"/>
      <c r="BB608" s="3"/>
      <c r="BC608" s="3"/>
      <c r="BD608" s="3"/>
      <c r="BE608" s="1482">
        <f t="shared" si="1"/>
        <v>1</v>
      </c>
      <c r="BF608" s="1484"/>
      <c r="BG608" s="1492">
        <f t="shared" si="2"/>
        <v>8</v>
      </c>
      <c r="BH608" s="1494"/>
      <c r="BI608" s="1482">
        <f t="shared" si="3"/>
        <v>0</v>
      </c>
      <c r="BJ608" s="1484"/>
      <c r="BK608" s="1492">
        <f t="shared" si="4"/>
        <v>0</v>
      </c>
      <c r="BL608" s="1494"/>
      <c r="BM608" s="3"/>
      <c r="BN608" s="1486">
        <f t="shared" si="5"/>
        <v>0</v>
      </c>
      <c r="BO608" s="1487"/>
      <c r="BP608" s="1487"/>
      <c r="BQ608" s="1487"/>
      <c r="BR608" s="1488"/>
      <c r="BS608" s="1485">
        <f t="shared" si="6"/>
        <v>0</v>
      </c>
      <c r="BT608" s="1485"/>
      <c r="BU608" s="1485"/>
      <c r="BV608" s="1485"/>
      <c r="BW608" s="1485"/>
      <c r="BX608" s="1485">
        <f t="shared" si="7"/>
        <v>8</v>
      </c>
      <c r="BY608" s="1485"/>
      <c r="BZ608" s="1485"/>
      <c r="CA608" s="1485"/>
      <c r="CB608" s="1485"/>
      <c r="CC608" s="1485">
        <f t="shared" si="8"/>
        <v>0</v>
      </c>
      <c r="CD608" s="1485"/>
      <c r="CE608" s="1485"/>
      <c r="CF608" s="1485"/>
      <c r="CG608" s="1485"/>
      <c r="CH608" s="1485">
        <f t="shared" si="9"/>
        <v>0</v>
      </c>
      <c r="CI608" s="1485"/>
      <c r="CJ608" s="1485"/>
      <c r="CK608" s="1485"/>
      <c r="CL608" s="1485"/>
      <c r="CM608" s="1485">
        <f t="shared" si="10"/>
        <v>0</v>
      </c>
      <c r="CN608" s="1485"/>
      <c r="CO608" s="1485"/>
      <c r="CP608" s="1485"/>
      <c r="CQ608" s="1485"/>
      <c r="CR608" s="6"/>
      <c r="CS608" s="1495">
        <f t="shared" si="11"/>
        <v>0</v>
      </c>
      <c r="CT608" s="1495"/>
      <c r="CU608" s="1495"/>
      <c r="CV608" s="1495"/>
      <c r="CW608" s="1495"/>
      <c r="CX608" s="1495">
        <f t="shared" si="12"/>
        <v>0</v>
      </c>
      <c r="CY608" s="1495"/>
      <c r="CZ608" s="1495"/>
      <c r="DA608" s="1495"/>
      <c r="DB608" s="1495"/>
      <c r="DC608" s="1495">
        <f t="shared" si="13"/>
        <v>0</v>
      </c>
      <c r="DD608" s="1495"/>
      <c r="DE608" s="1495"/>
      <c r="DF608" s="1495"/>
      <c r="DG608" s="1495"/>
      <c r="DH608" s="1495">
        <f t="shared" si="14"/>
        <v>0</v>
      </c>
      <c r="DI608" s="1495"/>
      <c r="DJ608" s="1495"/>
      <c r="DK608" s="1495"/>
      <c r="DL608" s="1495"/>
      <c r="DM608" s="1495">
        <f t="shared" si="15"/>
        <v>0</v>
      </c>
      <c r="DN608" s="1495"/>
      <c r="DO608" s="1495"/>
      <c r="DP608" s="1495"/>
      <c r="DQ608" s="1495"/>
      <c r="DR608" s="1495">
        <f t="shared" si="16"/>
        <v>0</v>
      </c>
      <c r="DS608" s="1495"/>
      <c r="DT608" s="1495"/>
      <c r="DU608" s="1495"/>
      <c r="DV608" s="1495"/>
      <c r="DX608" s="1482" t="str">
        <f t="shared" si="17"/>
        <v/>
      </c>
      <c r="DY608" s="1483"/>
      <c r="DZ608" s="1483"/>
      <c r="EA608" s="1483"/>
      <c r="EB608" s="1484"/>
      <c r="EC608" s="1482" t="str">
        <f t="shared" si="18"/>
        <v/>
      </c>
      <c r="ED608" s="1483"/>
      <c r="EE608" s="1483"/>
      <c r="EF608" s="1483"/>
      <c r="EG608" s="1484"/>
      <c r="EH608" s="1482">
        <f t="shared" si="19"/>
        <v>957</v>
      </c>
      <c r="EI608" s="1483"/>
      <c r="EJ608" s="1483"/>
      <c r="EK608" s="1483"/>
      <c r="EL608" s="1484"/>
      <c r="EM608" s="1482" t="str">
        <f t="shared" si="20"/>
        <v/>
      </c>
      <c r="EN608" s="1483"/>
      <c r="EO608" s="1483"/>
      <c r="EP608" s="1483"/>
      <c r="EQ608" s="1484"/>
      <c r="ER608" s="1482" t="str">
        <f t="shared" si="21"/>
        <v/>
      </c>
      <c r="ES608" s="1483"/>
      <c r="ET608" s="1483"/>
      <c r="EU608" s="1483"/>
      <c r="EV608" s="1484"/>
      <c r="EW608" s="1482" t="str">
        <f t="shared" si="22"/>
        <v/>
      </c>
      <c r="EX608" s="1483"/>
      <c r="EY608" s="1483"/>
      <c r="EZ608" s="1483"/>
      <c r="FA608" s="1484"/>
    </row>
    <row r="609" spans="1:157" ht="12.95" customHeight="1">
      <c r="A609" s="55" t="s">
        <v>363</v>
      </c>
      <c r="B609" t="s">
        <v>472</v>
      </c>
      <c r="G609" s="1451">
        <f>C564</f>
        <v>0</v>
      </c>
      <c r="H609" s="1451"/>
      <c r="I609" s="1451"/>
      <c r="J609" s="1451"/>
      <c r="K609" s="1451"/>
      <c r="L609" s="1451"/>
      <c r="M609" s="1451"/>
      <c r="N609" s="1451"/>
      <c r="O609" s="1451"/>
      <c r="P609" s="1451"/>
      <c r="Q609" s="1451"/>
      <c r="R609" s="1451"/>
      <c r="T609" s="55" t="s">
        <v>364</v>
      </c>
      <c r="U609" t="s">
        <v>472</v>
      </c>
      <c r="Z609" s="1451">
        <f>C565</f>
        <v>0</v>
      </c>
      <c r="AA609" s="1451"/>
      <c r="AB609" s="1451"/>
      <c r="AC609" s="1451"/>
      <c r="AD609" s="1451"/>
      <c r="AE609" s="1451"/>
      <c r="AF609" s="1451"/>
      <c r="AG609" s="1451"/>
      <c r="AH609" s="1451"/>
      <c r="AI609" s="1451"/>
      <c r="AJ609" s="1451"/>
      <c r="AK609" s="1451"/>
      <c r="AZ609" s="3"/>
      <c r="BA609" s="3"/>
      <c r="BB609" s="3"/>
      <c r="BC609" s="3"/>
      <c r="BD609" s="3"/>
      <c r="BE609" s="1482">
        <f t="shared" si="1"/>
        <v>1</v>
      </c>
      <c r="BF609" s="1484"/>
      <c r="BG609" s="1492">
        <f t="shared" si="2"/>
        <v>7</v>
      </c>
      <c r="BH609" s="1494"/>
      <c r="BI609" s="1482">
        <f t="shared" si="3"/>
        <v>0</v>
      </c>
      <c r="BJ609" s="1484"/>
      <c r="BK609" s="1492">
        <f t="shared" si="4"/>
        <v>0</v>
      </c>
      <c r="BL609" s="1494"/>
      <c r="BM609" s="3"/>
      <c r="BN609" s="1486">
        <f t="shared" si="5"/>
        <v>0</v>
      </c>
      <c r="BO609" s="1487"/>
      <c r="BP609" s="1487"/>
      <c r="BQ609" s="1487"/>
      <c r="BR609" s="1488"/>
      <c r="BS609" s="1485">
        <f t="shared" si="6"/>
        <v>0</v>
      </c>
      <c r="BT609" s="1485"/>
      <c r="BU609" s="1485"/>
      <c r="BV609" s="1485"/>
      <c r="BW609" s="1485"/>
      <c r="BX609" s="1485">
        <f t="shared" si="7"/>
        <v>7</v>
      </c>
      <c r="BY609" s="1485"/>
      <c r="BZ609" s="1485"/>
      <c r="CA609" s="1485"/>
      <c r="CB609" s="1485"/>
      <c r="CC609" s="1485">
        <f t="shared" si="8"/>
        <v>0</v>
      </c>
      <c r="CD609" s="1485"/>
      <c r="CE609" s="1485"/>
      <c r="CF609" s="1485"/>
      <c r="CG609" s="1485"/>
      <c r="CH609" s="1485">
        <f t="shared" si="9"/>
        <v>0</v>
      </c>
      <c r="CI609" s="1485"/>
      <c r="CJ609" s="1485"/>
      <c r="CK609" s="1485"/>
      <c r="CL609" s="1485"/>
      <c r="CM609" s="1485">
        <f t="shared" si="10"/>
        <v>0</v>
      </c>
      <c r="CN609" s="1485"/>
      <c r="CO609" s="1485"/>
      <c r="CP609" s="1485"/>
      <c r="CQ609" s="1485"/>
      <c r="CR609" s="6"/>
      <c r="CS609" s="1495">
        <f t="shared" si="11"/>
        <v>0</v>
      </c>
      <c r="CT609" s="1495"/>
      <c r="CU609" s="1495"/>
      <c r="CV609" s="1495"/>
      <c r="CW609" s="1495"/>
      <c r="CX609" s="1495">
        <f t="shared" si="12"/>
        <v>0</v>
      </c>
      <c r="CY609" s="1495"/>
      <c r="CZ609" s="1495"/>
      <c r="DA609" s="1495"/>
      <c r="DB609" s="1495"/>
      <c r="DC609" s="1495">
        <f t="shared" si="13"/>
        <v>0</v>
      </c>
      <c r="DD609" s="1495"/>
      <c r="DE609" s="1495"/>
      <c r="DF609" s="1495"/>
      <c r="DG609" s="1495"/>
      <c r="DH609" s="1495">
        <f t="shared" si="14"/>
        <v>0</v>
      </c>
      <c r="DI609" s="1495"/>
      <c r="DJ609" s="1495"/>
      <c r="DK609" s="1495"/>
      <c r="DL609" s="1495"/>
      <c r="DM609" s="1495">
        <f t="shared" si="15"/>
        <v>0</v>
      </c>
      <c r="DN609" s="1495"/>
      <c r="DO609" s="1495"/>
      <c r="DP609" s="1495"/>
      <c r="DQ609" s="1495"/>
      <c r="DR609" s="1495">
        <f t="shared" si="16"/>
        <v>0</v>
      </c>
      <c r="DS609" s="1495"/>
      <c r="DT609" s="1495"/>
      <c r="DU609" s="1495"/>
      <c r="DV609" s="1495"/>
      <c r="DX609" s="1482" t="str">
        <f t="shared" si="17"/>
        <v/>
      </c>
      <c r="DY609" s="1483"/>
      <c r="DZ609" s="1483"/>
      <c r="EA609" s="1483"/>
      <c r="EB609" s="1484"/>
      <c r="EC609" s="1482" t="str">
        <f t="shared" si="18"/>
        <v/>
      </c>
      <c r="ED609" s="1483"/>
      <c r="EE609" s="1483"/>
      <c r="EF609" s="1483"/>
      <c r="EG609" s="1484"/>
      <c r="EH609" s="1482">
        <f t="shared" si="19"/>
        <v>957</v>
      </c>
      <c r="EI609" s="1483"/>
      <c r="EJ609" s="1483"/>
      <c r="EK609" s="1483"/>
      <c r="EL609" s="1484"/>
      <c r="EM609" s="1482" t="str">
        <f t="shared" si="20"/>
        <v/>
      </c>
      <c r="EN609" s="1483"/>
      <c r="EO609" s="1483"/>
      <c r="EP609" s="1483"/>
      <c r="EQ609" s="1484"/>
      <c r="ER609" s="1482" t="str">
        <f t="shared" si="21"/>
        <v/>
      </c>
      <c r="ES609" s="1483"/>
      <c r="ET609" s="1483"/>
      <c r="EU609" s="1483"/>
      <c r="EV609" s="1484"/>
      <c r="EW609" s="1482" t="str">
        <f t="shared" si="22"/>
        <v/>
      </c>
      <c r="EX609" s="1483"/>
      <c r="EY609" s="1483"/>
      <c r="EZ609" s="1483"/>
      <c r="FA609" s="1484"/>
    </row>
    <row r="610" spans="1:157" ht="12.95"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c r="BD610" s="3"/>
      <c r="BE610" s="1482">
        <f t="shared" si="1"/>
        <v>1</v>
      </c>
      <c r="BF610" s="1484"/>
      <c r="BG610" s="1492">
        <f t="shared" si="2"/>
        <v>10</v>
      </c>
      <c r="BH610" s="1494"/>
      <c r="BI610" s="1482">
        <f t="shared" si="3"/>
        <v>0</v>
      </c>
      <c r="BJ610" s="1484"/>
      <c r="BK610" s="1492">
        <f t="shared" si="4"/>
        <v>0</v>
      </c>
      <c r="BL610" s="1494"/>
      <c r="BM610" s="3"/>
      <c r="BN610" s="1486">
        <f t="shared" si="5"/>
        <v>0</v>
      </c>
      <c r="BO610" s="1487"/>
      <c r="BP610" s="1487"/>
      <c r="BQ610" s="1487"/>
      <c r="BR610" s="1488"/>
      <c r="BS610" s="1485">
        <f t="shared" si="6"/>
        <v>0</v>
      </c>
      <c r="BT610" s="1485"/>
      <c r="BU610" s="1485"/>
      <c r="BV610" s="1485"/>
      <c r="BW610" s="1485"/>
      <c r="BX610" s="1485">
        <f t="shared" si="7"/>
        <v>0</v>
      </c>
      <c r="BY610" s="1485"/>
      <c r="BZ610" s="1485"/>
      <c r="CA610" s="1485"/>
      <c r="CB610" s="1485"/>
      <c r="CC610" s="1485">
        <f t="shared" si="8"/>
        <v>10</v>
      </c>
      <c r="CD610" s="1485"/>
      <c r="CE610" s="1485"/>
      <c r="CF610" s="1485"/>
      <c r="CG610" s="1485"/>
      <c r="CH610" s="1485">
        <f t="shared" si="9"/>
        <v>0</v>
      </c>
      <c r="CI610" s="1485"/>
      <c r="CJ610" s="1485"/>
      <c r="CK610" s="1485"/>
      <c r="CL610" s="1485"/>
      <c r="CM610" s="1485">
        <f t="shared" si="10"/>
        <v>0</v>
      </c>
      <c r="CN610" s="1485"/>
      <c r="CO610" s="1485"/>
      <c r="CP610" s="1485"/>
      <c r="CQ610" s="1485"/>
      <c r="CR610" s="6"/>
      <c r="CS610" s="1495">
        <f t="shared" si="11"/>
        <v>0</v>
      </c>
      <c r="CT610" s="1495"/>
      <c r="CU610" s="1495"/>
      <c r="CV610" s="1495"/>
      <c r="CW610" s="1495"/>
      <c r="CX610" s="1495">
        <f t="shared" si="12"/>
        <v>0</v>
      </c>
      <c r="CY610" s="1495"/>
      <c r="CZ610" s="1495"/>
      <c r="DA610" s="1495"/>
      <c r="DB610" s="1495"/>
      <c r="DC610" s="1495">
        <f t="shared" si="13"/>
        <v>0</v>
      </c>
      <c r="DD610" s="1495"/>
      <c r="DE610" s="1495"/>
      <c r="DF610" s="1495"/>
      <c r="DG610" s="1495"/>
      <c r="DH610" s="1495">
        <f t="shared" si="14"/>
        <v>0</v>
      </c>
      <c r="DI610" s="1495"/>
      <c r="DJ610" s="1495"/>
      <c r="DK610" s="1495"/>
      <c r="DL610" s="1495"/>
      <c r="DM610" s="1495">
        <f t="shared" si="15"/>
        <v>0</v>
      </c>
      <c r="DN610" s="1495"/>
      <c r="DO610" s="1495"/>
      <c r="DP610" s="1495"/>
      <c r="DQ610" s="1495"/>
      <c r="DR610" s="1495">
        <f t="shared" si="16"/>
        <v>0</v>
      </c>
      <c r="DS610" s="1495"/>
      <c r="DT610" s="1495"/>
      <c r="DU610" s="1495"/>
      <c r="DV610" s="1495"/>
      <c r="DX610" s="1482" t="str">
        <f t="shared" si="17"/>
        <v/>
      </c>
      <c r="DY610" s="1483"/>
      <c r="DZ610" s="1483"/>
      <c r="EA610" s="1483"/>
      <c r="EB610" s="1484"/>
      <c r="EC610" s="1482" t="str">
        <f t="shared" si="18"/>
        <v/>
      </c>
      <c r="ED610" s="1483"/>
      <c r="EE610" s="1483"/>
      <c r="EF610" s="1483"/>
      <c r="EG610" s="1484"/>
      <c r="EH610" s="1482" t="str">
        <f t="shared" si="19"/>
        <v/>
      </c>
      <c r="EI610" s="1483"/>
      <c r="EJ610" s="1483"/>
      <c r="EK610" s="1483"/>
      <c r="EL610" s="1484"/>
      <c r="EM610" s="1482">
        <f t="shared" si="20"/>
        <v>1094</v>
      </c>
      <c r="EN610" s="1483"/>
      <c r="EO610" s="1483"/>
      <c r="EP610" s="1483"/>
      <c r="EQ610" s="1484"/>
      <c r="ER610" s="1482" t="str">
        <f t="shared" si="21"/>
        <v/>
      </c>
      <c r="ES610" s="1483"/>
      <c r="ET610" s="1483"/>
      <c r="EU610" s="1483"/>
      <c r="EV610" s="1484"/>
      <c r="EW610" s="1482" t="str">
        <f t="shared" si="22"/>
        <v/>
      </c>
      <c r="EX610" s="1483"/>
      <c r="EY610" s="1483"/>
      <c r="EZ610" s="1483"/>
      <c r="FA610" s="1484"/>
    </row>
    <row r="611" spans="1:157" ht="12.95" customHeight="1">
      <c r="B611" t="s">
        <v>589</v>
      </c>
      <c r="G611" s="1406"/>
      <c r="H611" s="1406"/>
      <c r="I611" s="1406"/>
      <c r="J611" s="1406"/>
      <c r="K611" s="1406"/>
      <c r="L611" s="1406"/>
      <c r="M611" s="1406"/>
      <c r="N611" s="1406"/>
      <c r="O611" s="1406"/>
      <c r="P611" s="1406"/>
      <c r="Q611" s="1406"/>
      <c r="R611" s="1406"/>
      <c r="U611" t="s">
        <v>589</v>
      </c>
      <c r="Z611" s="1407"/>
      <c r="AA611" s="1407"/>
      <c r="AB611" s="1407"/>
      <c r="AC611" s="1407"/>
      <c r="AD611" s="1407"/>
      <c r="AE611" s="1407"/>
      <c r="AF611" s="1407"/>
      <c r="AG611" s="1407"/>
      <c r="AH611" s="1407"/>
      <c r="AI611" s="1407"/>
      <c r="AJ611" s="1407"/>
      <c r="AK611" s="1407"/>
      <c r="AZ611" s="3"/>
      <c r="BA611" s="3"/>
      <c r="BB611" s="3"/>
      <c r="BC611" s="3"/>
      <c r="BD611" s="3"/>
      <c r="BE611" s="1482">
        <f t="shared" si="1"/>
        <v>1</v>
      </c>
      <c r="BF611" s="1484"/>
      <c r="BG611" s="1492">
        <f t="shared" si="2"/>
        <v>4</v>
      </c>
      <c r="BH611" s="1494"/>
      <c r="BI611" s="1482">
        <f t="shared" si="3"/>
        <v>0</v>
      </c>
      <c r="BJ611" s="1484"/>
      <c r="BK611" s="1492">
        <f t="shared" si="4"/>
        <v>0</v>
      </c>
      <c r="BL611" s="1494"/>
      <c r="BM611" s="3"/>
      <c r="BN611" s="1486">
        <f t="shared" si="5"/>
        <v>0</v>
      </c>
      <c r="BO611" s="1487"/>
      <c r="BP611" s="1487"/>
      <c r="BQ611" s="1487"/>
      <c r="BR611" s="1488"/>
      <c r="BS611" s="1485">
        <f t="shared" si="6"/>
        <v>0</v>
      </c>
      <c r="BT611" s="1485"/>
      <c r="BU611" s="1485"/>
      <c r="BV611" s="1485"/>
      <c r="BW611" s="1485"/>
      <c r="BX611" s="1485">
        <f t="shared" si="7"/>
        <v>0</v>
      </c>
      <c r="BY611" s="1485"/>
      <c r="BZ611" s="1485"/>
      <c r="CA611" s="1485"/>
      <c r="CB611" s="1485"/>
      <c r="CC611" s="1485">
        <f t="shared" si="8"/>
        <v>0</v>
      </c>
      <c r="CD611" s="1485"/>
      <c r="CE611" s="1485"/>
      <c r="CF611" s="1485"/>
      <c r="CG611" s="1485"/>
      <c r="CH611" s="1485">
        <f t="shared" si="9"/>
        <v>4</v>
      </c>
      <c r="CI611" s="1485"/>
      <c r="CJ611" s="1485"/>
      <c r="CK611" s="1485"/>
      <c r="CL611" s="1485"/>
      <c r="CM611" s="1485">
        <f t="shared" si="10"/>
        <v>0</v>
      </c>
      <c r="CN611" s="1485"/>
      <c r="CO611" s="1485"/>
      <c r="CP611" s="1485"/>
      <c r="CQ611" s="1485"/>
      <c r="CR611" s="6"/>
      <c r="CS611" s="1495">
        <f t="shared" si="11"/>
        <v>0</v>
      </c>
      <c r="CT611" s="1495"/>
      <c r="CU611" s="1495"/>
      <c r="CV611" s="1495"/>
      <c r="CW611" s="1495"/>
      <c r="CX611" s="1495">
        <f t="shared" si="12"/>
        <v>0</v>
      </c>
      <c r="CY611" s="1495"/>
      <c r="CZ611" s="1495"/>
      <c r="DA611" s="1495"/>
      <c r="DB611" s="1495"/>
      <c r="DC611" s="1495">
        <f t="shared" si="13"/>
        <v>0</v>
      </c>
      <c r="DD611" s="1495"/>
      <c r="DE611" s="1495"/>
      <c r="DF611" s="1495"/>
      <c r="DG611" s="1495"/>
      <c r="DH611" s="1495">
        <f t="shared" si="14"/>
        <v>0</v>
      </c>
      <c r="DI611" s="1495"/>
      <c r="DJ611" s="1495"/>
      <c r="DK611" s="1495"/>
      <c r="DL611" s="1495"/>
      <c r="DM611" s="1495">
        <f t="shared" si="15"/>
        <v>0</v>
      </c>
      <c r="DN611" s="1495"/>
      <c r="DO611" s="1495"/>
      <c r="DP611" s="1495"/>
      <c r="DQ611" s="1495"/>
      <c r="DR611" s="1495">
        <f t="shared" si="16"/>
        <v>0</v>
      </c>
      <c r="DS611" s="1495"/>
      <c r="DT611" s="1495"/>
      <c r="DU611" s="1495"/>
      <c r="DV611" s="1495"/>
      <c r="DX611" s="1482" t="str">
        <f t="shared" si="17"/>
        <v/>
      </c>
      <c r="DY611" s="1483"/>
      <c r="DZ611" s="1483"/>
      <c r="EA611" s="1483"/>
      <c r="EB611" s="1484"/>
      <c r="EC611" s="1482" t="str">
        <f t="shared" si="18"/>
        <v/>
      </c>
      <c r="ED611" s="1483"/>
      <c r="EE611" s="1483"/>
      <c r="EF611" s="1483"/>
      <c r="EG611" s="1484"/>
      <c r="EH611" s="1482" t="str">
        <f t="shared" si="19"/>
        <v/>
      </c>
      <c r="EI611" s="1483"/>
      <c r="EJ611" s="1483"/>
      <c r="EK611" s="1483"/>
      <c r="EL611" s="1484"/>
      <c r="EM611" s="1482" t="str">
        <f t="shared" si="20"/>
        <v/>
      </c>
      <c r="EN611" s="1483"/>
      <c r="EO611" s="1483"/>
      <c r="EP611" s="1483"/>
      <c r="EQ611" s="1484"/>
      <c r="ER611" s="1482">
        <f t="shared" si="21"/>
        <v>1207</v>
      </c>
      <c r="ES611" s="1483"/>
      <c r="ET611" s="1483"/>
      <c r="EU611" s="1483"/>
      <c r="EV611" s="1484"/>
      <c r="EW611" s="1482" t="str">
        <f t="shared" si="22"/>
        <v/>
      </c>
      <c r="EX611" s="1483"/>
      <c r="EY611" s="1483"/>
      <c r="EZ611" s="1483"/>
      <c r="FA611" s="1484"/>
    </row>
    <row r="612" spans="1:157" ht="12.95" customHeight="1">
      <c r="B612" t="s">
        <v>17</v>
      </c>
      <c r="G612" s="1406"/>
      <c r="H612" s="1406"/>
      <c r="I612" s="1406"/>
      <c r="J612" s="1406"/>
      <c r="K612" s="1406"/>
      <c r="L612" s="1406"/>
      <c r="M612" s="1406"/>
      <c r="N612" s="1406"/>
      <c r="O612" s="1406"/>
      <c r="P612" s="1406"/>
      <c r="Q612" s="1406"/>
      <c r="R612" s="1406"/>
      <c r="U612" t="s">
        <v>17</v>
      </c>
      <c r="Z612" s="1407"/>
      <c r="AA612" s="1407"/>
      <c r="AB612" s="1407"/>
      <c r="AC612" s="1407"/>
      <c r="AD612" s="1407"/>
      <c r="AE612" s="1407"/>
      <c r="AF612" s="1407"/>
      <c r="AG612" s="1407"/>
      <c r="AH612" s="1407"/>
      <c r="AI612" s="1407"/>
      <c r="AJ612" s="1407"/>
      <c r="AK612" s="1407"/>
      <c r="AZ612" s="3"/>
      <c r="BA612" s="3"/>
      <c r="BB612" s="3"/>
      <c r="BC612" s="3"/>
      <c r="BD612" s="3"/>
      <c r="BE612" s="1482">
        <f t="shared" si="1"/>
        <v>0</v>
      </c>
      <c r="BF612" s="1484"/>
      <c r="BG612" s="1492">
        <f t="shared" si="2"/>
        <v>0</v>
      </c>
      <c r="BH612" s="1494"/>
      <c r="BI612" s="1482">
        <f t="shared" si="3"/>
        <v>0</v>
      </c>
      <c r="BJ612" s="1484"/>
      <c r="BK612" s="1492">
        <f t="shared" si="4"/>
        <v>0</v>
      </c>
      <c r="BL612" s="1494"/>
      <c r="BM612" s="3"/>
      <c r="BN612" s="1486">
        <f t="shared" si="5"/>
        <v>0</v>
      </c>
      <c r="BO612" s="1487"/>
      <c r="BP612" s="1487"/>
      <c r="BQ612" s="1487"/>
      <c r="BR612" s="1488"/>
      <c r="BS612" s="1485">
        <f t="shared" si="6"/>
        <v>17</v>
      </c>
      <c r="BT612" s="1485"/>
      <c r="BU612" s="1485"/>
      <c r="BV612" s="1485"/>
      <c r="BW612" s="1485"/>
      <c r="BX612" s="1485">
        <f t="shared" si="7"/>
        <v>0</v>
      </c>
      <c r="BY612" s="1485"/>
      <c r="BZ612" s="1485"/>
      <c r="CA612" s="1485"/>
      <c r="CB612" s="1485"/>
      <c r="CC612" s="1485">
        <f t="shared" si="8"/>
        <v>0</v>
      </c>
      <c r="CD612" s="1485"/>
      <c r="CE612" s="1485"/>
      <c r="CF612" s="1485"/>
      <c r="CG612" s="1485"/>
      <c r="CH612" s="1485">
        <f t="shared" si="9"/>
        <v>0</v>
      </c>
      <c r="CI612" s="1485"/>
      <c r="CJ612" s="1485"/>
      <c r="CK612" s="1485"/>
      <c r="CL612" s="1485"/>
      <c r="CM612" s="1485">
        <f t="shared" si="10"/>
        <v>0</v>
      </c>
      <c r="CN612" s="1485"/>
      <c r="CO612" s="1485"/>
      <c r="CP612" s="1485"/>
      <c r="CQ612" s="1485"/>
      <c r="CR612" s="6"/>
      <c r="CS612" s="1495">
        <f t="shared" si="11"/>
        <v>0</v>
      </c>
      <c r="CT612" s="1495"/>
      <c r="CU612" s="1495"/>
      <c r="CV612" s="1495"/>
      <c r="CW612" s="1495"/>
      <c r="CX612" s="1495">
        <f t="shared" si="12"/>
        <v>0</v>
      </c>
      <c r="CY612" s="1495"/>
      <c r="CZ612" s="1495"/>
      <c r="DA612" s="1495"/>
      <c r="DB612" s="1495"/>
      <c r="DC612" s="1495">
        <f t="shared" si="13"/>
        <v>0</v>
      </c>
      <c r="DD612" s="1495"/>
      <c r="DE612" s="1495"/>
      <c r="DF612" s="1495"/>
      <c r="DG612" s="1495"/>
      <c r="DH612" s="1495">
        <f t="shared" si="14"/>
        <v>0</v>
      </c>
      <c r="DI612" s="1495"/>
      <c r="DJ612" s="1495"/>
      <c r="DK612" s="1495"/>
      <c r="DL612" s="1495"/>
      <c r="DM612" s="1495">
        <f t="shared" si="15"/>
        <v>0</v>
      </c>
      <c r="DN612" s="1495"/>
      <c r="DO612" s="1495"/>
      <c r="DP612" s="1495"/>
      <c r="DQ612" s="1495"/>
      <c r="DR612" s="1495">
        <f t="shared" si="16"/>
        <v>0</v>
      </c>
      <c r="DS612" s="1495"/>
      <c r="DT612" s="1495"/>
      <c r="DU612" s="1495"/>
      <c r="DV612" s="1495"/>
      <c r="DX612" s="1482" t="str">
        <f t="shared" si="17"/>
        <v/>
      </c>
      <c r="DY612" s="1483"/>
      <c r="DZ612" s="1483"/>
      <c r="EA612" s="1483"/>
      <c r="EB612" s="1484"/>
      <c r="EC612" s="1482">
        <f t="shared" si="18"/>
        <v>986</v>
      </c>
      <c r="ED612" s="1483"/>
      <c r="EE612" s="1483"/>
      <c r="EF612" s="1483"/>
      <c r="EG612" s="1484"/>
      <c r="EH612" s="1482" t="str">
        <f t="shared" si="19"/>
        <v/>
      </c>
      <c r="EI612" s="1483"/>
      <c r="EJ612" s="1483"/>
      <c r="EK612" s="1483"/>
      <c r="EL612" s="1484"/>
      <c r="EM612" s="1482" t="str">
        <f t="shared" si="20"/>
        <v/>
      </c>
      <c r="EN612" s="1483"/>
      <c r="EO612" s="1483"/>
      <c r="EP612" s="1483"/>
      <c r="EQ612" s="1484"/>
      <c r="ER612" s="1482" t="str">
        <f t="shared" si="21"/>
        <v/>
      </c>
      <c r="ES612" s="1483"/>
      <c r="ET612" s="1483"/>
      <c r="EU612" s="1483"/>
      <c r="EV612" s="1484"/>
      <c r="EW612" s="1482" t="str">
        <f t="shared" si="22"/>
        <v/>
      </c>
      <c r="EX612" s="1483"/>
      <c r="EY612" s="1483"/>
      <c r="EZ612" s="1483"/>
      <c r="FA612" s="1484"/>
    </row>
    <row r="613" spans="1:157" ht="12.95" customHeight="1">
      <c r="B613" t="s">
        <v>317</v>
      </c>
      <c r="G613" s="1465"/>
      <c r="H613" s="1465"/>
      <c r="I613" s="1465"/>
      <c r="J613" s="1465"/>
      <c r="K613" s="1465"/>
      <c r="L613" s="1465"/>
      <c r="O613" s="33" t="s">
        <v>207</v>
      </c>
      <c r="P613" s="1489"/>
      <c r="Q613" s="1489"/>
      <c r="R613" s="1489"/>
      <c r="U613" t="s">
        <v>317</v>
      </c>
      <c r="Z613" s="1465"/>
      <c r="AA613" s="1465"/>
      <c r="AB613" s="1465"/>
      <c r="AC613" s="1465"/>
      <c r="AD613" s="1465"/>
      <c r="AE613" s="1465"/>
      <c r="AH613" s="33" t="s">
        <v>207</v>
      </c>
      <c r="AI613" s="1489"/>
      <c r="AJ613" s="1489"/>
      <c r="AK613" s="1489"/>
      <c r="AZ613" s="3"/>
      <c r="BA613" s="3"/>
      <c r="BB613" s="3"/>
      <c r="BC613" s="3"/>
      <c r="BD613" s="3"/>
      <c r="BE613" s="1482">
        <f t="shared" si="1"/>
        <v>0</v>
      </c>
      <c r="BF613" s="1484"/>
      <c r="BG613" s="1492">
        <f t="shared" si="2"/>
        <v>0</v>
      </c>
      <c r="BH613" s="1494"/>
      <c r="BI613" s="1482">
        <f t="shared" si="3"/>
        <v>0</v>
      </c>
      <c r="BJ613" s="1484"/>
      <c r="BK613" s="1492">
        <f t="shared" si="4"/>
        <v>0</v>
      </c>
      <c r="BL613" s="1494"/>
      <c r="BM613" s="3"/>
      <c r="BN613" s="1486">
        <f t="shared" si="5"/>
        <v>0</v>
      </c>
      <c r="BO613" s="1487"/>
      <c r="BP613" s="1487"/>
      <c r="BQ613" s="1487"/>
      <c r="BR613" s="1488"/>
      <c r="BS613" s="1485">
        <f t="shared" si="6"/>
        <v>0</v>
      </c>
      <c r="BT613" s="1485"/>
      <c r="BU613" s="1485"/>
      <c r="BV613" s="1485"/>
      <c r="BW613" s="1485"/>
      <c r="BX613" s="1485">
        <f t="shared" si="7"/>
        <v>10</v>
      </c>
      <c r="BY613" s="1485"/>
      <c r="BZ613" s="1485"/>
      <c r="CA613" s="1485"/>
      <c r="CB613" s="1485"/>
      <c r="CC613" s="1485">
        <f t="shared" si="8"/>
        <v>0</v>
      </c>
      <c r="CD613" s="1485"/>
      <c r="CE613" s="1485"/>
      <c r="CF613" s="1485"/>
      <c r="CG613" s="1485"/>
      <c r="CH613" s="1485">
        <f t="shared" si="9"/>
        <v>0</v>
      </c>
      <c r="CI613" s="1485"/>
      <c r="CJ613" s="1485"/>
      <c r="CK613" s="1485"/>
      <c r="CL613" s="1485"/>
      <c r="CM613" s="1485">
        <f t="shared" si="10"/>
        <v>0</v>
      </c>
      <c r="CN613" s="1485"/>
      <c r="CO613" s="1485"/>
      <c r="CP613" s="1485"/>
      <c r="CQ613" s="1485"/>
      <c r="CR613" s="6"/>
      <c r="CS613" s="1495">
        <f t="shared" si="11"/>
        <v>0</v>
      </c>
      <c r="CT613" s="1495"/>
      <c r="CU613" s="1495"/>
      <c r="CV613" s="1495"/>
      <c r="CW613" s="1495"/>
      <c r="CX613" s="1495">
        <f t="shared" si="12"/>
        <v>0</v>
      </c>
      <c r="CY613" s="1495"/>
      <c r="CZ613" s="1495"/>
      <c r="DA613" s="1495"/>
      <c r="DB613" s="1495"/>
      <c r="DC613" s="1495">
        <f t="shared" si="13"/>
        <v>0</v>
      </c>
      <c r="DD613" s="1495"/>
      <c r="DE613" s="1495"/>
      <c r="DF613" s="1495"/>
      <c r="DG613" s="1495"/>
      <c r="DH613" s="1495">
        <f t="shared" si="14"/>
        <v>0</v>
      </c>
      <c r="DI613" s="1495"/>
      <c r="DJ613" s="1495"/>
      <c r="DK613" s="1495"/>
      <c r="DL613" s="1495"/>
      <c r="DM613" s="1495">
        <f t="shared" si="15"/>
        <v>0</v>
      </c>
      <c r="DN613" s="1495"/>
      <c r="DO613" s="1495"/>
      <c r="DP613" s="1495"/>
      <c r="DQ613" s="1495"/>
      <c r="DR613" s="1495">
        <f t="shared" si="16"/>
        <v>0</v>
      </c>
      <c r="DS613" s="1495"/>
      <c r="DT613" s="1495"/>
      <c r="DU613" s="1495"/>
      <c r="DV613" s="1495"/>
      <c r="DX613" s="1482" t="str">
        <f t="shared" si="17"/>
        <v/>
      </c>
      <c r="DY613" s="1483"/>
      <c r="DZ613" s="1483"/>
      <c r="EA613" s="1483"/>
      <c r="EB613" s="1484"/>
      <c r="EC613" s="1482" t="str">
        <f t="shared" si="18"/>
        <v/>
      </c>
      <c r="ED613" s="1483"/>
      <c r="EE613" s="1483"/>
      <c r="EF613" s="1483"/>
      <c r="EG613" s="1484"/>
      <c r="EH613" s="1482">
        <f t="shared" si="19"/>
        <v>1167</v>
      </c>
      <c r="EI613" s="1483"/>
      <c r="EJ613" s="1483"/>
      <c r="EK613" s="1483"/>
      <c r="EL613" s="1484"/>
      <c r="EM613" s="1482" t="str">
        <f t="shared" si="20"/>
        <v/>
      </c>
      <c r="EN613" s="1483"/>
      <c r="EO613" s="1483"/>
      <c r="EP613" s="1483"/>
      <c r="EQ613" s="1484"/>
      <c r="ER613" s="1482" t="str">
        <f t="shared" si="21"/>
        <v/>
      </c>
      <c r="ES613" s="1483"/>
      <c r="ET613" s="1483"/>
      <c r="EU613" s="1483"/>
      <c r="EV613" s="1484"/>
      <c r="EW613" s="1482" t="str">
        <f t="shared" si="22"/>
        <v/>
      </c>
      <c r="EX613" s="1483"/>
      <c r="EY613" s="1483"/>
      <c r="EZ613" s="1483"/>
      <c r="FA613" s="1484"/>
    </row>
    <row r="614" spans="1:157" ht="12.95"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34"/>
      <c r="AV614" s="934"/>
      <c r="AW614" s="934"/>
      <c r="AX614" s="934"/>
      <c r="AY614" s="934"/>
      <c r="AZ614" s="3"/>
      <c r="BA614" s="3"/>
      <c r="BB614" s="3"/>
      <c r="BC614" s="3"/>
      <c r="BD614" s="3"/>
      <c r="BE614" s="1482">
        <f t="shared" si="1"/>
        <v>0</v>
      </c>
      <c r="BF614" s="1484"/>
      <c r="BG614" s="1492">
        <f t="shared" si="2"/>
        <v>0</v>
      </c>
      <c r="BH614" s="1494"/>
      <c r="BI614" s="1482">
        <f t="shared" si="3"/>
        <v>0</v>
      </c>
      <c r="BJ614" s="1484"/>
      <c r="BK614" s="1492">
        <f t="shared" si="4"/>
        <v>0</v>
      </c>
      <c r="BL614" s="1494"/>
      <c r="BM614" s="3"/>
      <c r="BN614" s="1486">
        <f t="shared" si="5"/>
        <v>0</v>
      </c>
      <c r="BO614" s="1487"/>
      <c r="BP614" s="1487"/>
      <c r="BQ614" s="1487"/>
      <c r="BR614" s="1488"/>
      <c r="BS614" s="1485">
        <f t="shared" si="6"/>
        <v>0</v>
      </c>
      <c r="BT614" s="1485"/>
      <c r="BU614" s="1485"/>
      <c r="BV614" s="1485"/>
      <c r="BW614" s="1485"/>
      <c r="BX614" s="1485">
        <f t="shared" si="7"/>
        <v>0</v>
      </c>
      <c r="BY614" s="1485"/>
      <c r="BZ614" s="1485"/>
      <c r="CA614" s="1485"/>
      <c r="CB614" s="1485"/>
      <c r="CC614" s="1485">
        <f t="shared" si="8"/>
        <v>9</v>
      </c>
      <c r="CD614" s="1485"/>
      <c r="CE614" s="1485"/>
      <c r="CF614" s="1485"/>
      <c r="CG614" s="1485"/>
      <c r="CH614" s="1485">
        <f t="shared" si="9"/>
        <v>0</v>
      </c>
      <c r="CI614" s="1485"/>
      <c r="CJ614" s="1485"/>
      <c r="CK614" s="1485"/>
      <c r="CL614" s="1485"/>
      <c r="CM614" s="1485">
        <f t="shared" si="10"/>
        <v>0</v>
      </c>
      <c r="CN614" s="1485"/>
      <c r="CO614" s="1485"/>
      <c r="CP614" s="1485"/>
      <c r="CQ614" s="1485"/>
      <c r="CR614" s="6"/>
      <c r="CS614" s="1495">
        <f t="shared" si="11"/>
        <v>0</v>
      </c>
      <c r="CT614" s="1495"/>
      <c r="CU614" s="1495"/>
      <c r="CV614" s="1495"/>
      <c r="CW614" s="1495"/>
      <c r="CX614" s="1495">
        <f t="shared" si="12"/>
        <v>0</v>
      </c>
      <c r="CY614" s="1495"/>
      <c r="CZ614" s="1495"/>
      <c r="DA614" s="1495"/>
      <c r="DB614" s="1495"/>
      <c r="DC614" s="1495">
        <f t="shared" si="13"/>
        <v>0</v>
      </c>
      <c r="DD614" s="1495"/>
      <c r="DE614" s="1495"/>
      <c r="DF614" s="1495"/>
      <c r="DG614" s="1495"/>
      <c r="DH614" s="1495">
        <f t="shared" si="14"/>
        <v>0</v>
      </c>
      <c r="DI614" s="1495"/>
      <c r="DJ614" s="1495"/>
      <c r="DK614" s="1495"/>
      <c r="DL614" s="1495"/>
      <c r="DM614" s="1495">
        <f t="shared" si="15"/>
        <v>0</v>
      </c>
      <c r="DN614" s="1495"/>
      <c r="DO614" s="1495"/>
      <c r="DP614" s="1495"/>
      <c r="DQ614" s="1495"/>
      <c r="DR614" s="1495">
        <f t="shared" si="16"/>
        <v>0</v>
      </c>
      <c r="DS614" s="1495"/>
      <c r="DT614" s="1495"/>
      <c r="DU614" s="1495"/>
      <c r="DV614" s="1495"/>
      <c r="DX614" s="1482" t="str">
        <f t="shared" si="17"/>
        <v/>
      </c>
      <c r="DY614" s="1483"/>
      <c r="DZ614" s="1483"/>
      <c r="EA614" s="1483"/>
      <c r="EB614" s="1484"/>
      <c r="EC614" s="1482" t="str">
        <f t="shared" si="18"/>
        <v/>
      </c>
      <c r="ED614" s="1483"/>
      <c r="EE614" s="1483"/>
      <c r="EF614" s="1483"/>
      <c r="EG614" s="1484"/>
      <c r="EH614" s="1482" t="str">
        <f t="shared" si="19"/>
        <v/>
      </c>
      <c r="EI614" s="1483"/>
      <c r="EJ614" s="1483"/>
      <c r="EK614" s="1483"/>
      <c r="EL614" s="1484"/>
      <c r="EM614" s="1482">
        <f t="shared" si="20"/>
        <v>1337</v>
      </c>
      <c r="EN614" s="1483"/>
      <c r="EO614" s="1483"/>
      <c r="EP614" s="1483"/>
      <c r="EQ614" s="1484"/>
      <c r="ER614" s="1482" t="str">
        <f t="shared" si="21"/>
        <v/>
      </c>
      <c r="ES614" s="1483"/>
      <c r="ET614" s="1483"/>
      <c r="EU614" s="1483"/>
      <c r="EV614" s="1484"/>
      <c r="EW614" s="1482" t="str">
        <f t="shared" si="22"/>
        <v/>
      </c>
      <c r="EX614" s="1483"/>
      <c r="EY614" s="1483"/>
      <c r="EZ614" s="1483"/>
      <c r="FA614" s="1484"/>
    </row>
    <row r="615" spans="1:157" ht="12.95" customHeight="1">
      <c r="B615" t="s">
        <v>20</v>
      </c>
      <c r="N615" s="1405" t="s">
        <v>678</v>
      </c>
      <c r="O615" s="1405"/>
      <c r="U615" t="s">
        <v>20</v>
      </c>
      <c r="AG615" s="1405" t="s">
        <v>678</v>
      </c>
      <c r="AH615" s="1405"/>
      <c r="AU615" s="934"/>
      <c r="AV615" s="934"/>
      <c r="AW615" s="934"/>
      <c r="AX615" s="934"/>
      <c r="AY615" s="934"/>
      <c r="AZ615" s="3"/>
      <c r="BA615" s="3"/>
      <c r="BB615" s="3"/>
      <c r="BC615" s="3"/>
      <c r="BD615" s="3"/>
      <c r="BE615" s="1482">
        <f t="shared" si="1"/>
        <v>0</v>
      </c>
      <c r="BF615" s="1484"/>
      <c r="BG615" s="1492">
        <f t="shared" si="2"/>
        <v>0</v>
      </c>
      <c r="BH615" s="1494"/>
      <c r="BI615" s="1482">
        <f t="shared" si="3"/>
        <v>0</v>
      </c>
      <c r="BJ615" s="1484"/>
      <c r="BK615" s="1492">
        <f t="shared" si="4"/>
        <v>0</v>
      </c>
      <c r="BL615" s="1494"/>
      <c r="BM615" s="3"/>
      <c r="BN615" s="1486">
        <f t="shared" si="5"/>
        <v>0</v>
      </c>
      <c r="BO615" s="1487"/>
      <c r="BP615" s="1487"/>
      <c r="BQ615" s="1487"/>
      <c r="BR615" s="1488"/>
      <c r="BS615" s="1485">
        <f t="shared" si="6"/>
        <v>8</v>
      </c>
      <c r="BT615" s="1485"/>
      <c r="BU615" s="1485"/>
      <c r="BV615" s="1485"/>
      <c r="BW615" s="1485"/>
      <c r="BX615" s="1485">
        <f t="shared" si="7"/>
        <v>0</v>
      </c>
      <c r="BY615" s="1485"/>
      <c r="BZ615" s="1485"/>
      <c r="CA615" s="1485"/>
      <c r="CB615" s="1485"/>
      <c r="CC615" s="1485">
        <f t="shared" si="8"/>
        <v>0</v>
      </c>
      <c r="CD615" s="1485"/>
      <c r="CE615" s="1485"/>
      <c r="CF615" s="1485"/>
      <c r="CG615" s="1485"/>
      <c r="CH615" s="1485">
        <f t="shared" si="9"/>
        <v>0</v>
      </c>
      <c r="CI615" s="1485"/>
      <c r="CJ615" s="1485"/>
      <c r="CK615" s="1485"/>
      <c r="CL615" s="1485"/>
      <c r="CM615" s="1485">
        <f t="shared" si="10"/>
        <v>0</v>
      </c>
      <c r="CN615" s="1485"/>
      <c r="CO615" s="1485"/>
      <c r="CP615" s="1485"/>
      <c r="CQ615" s="1485"/>
      <c r="CR615" s="6"/>
      <c r="CS615" s="1495">
        <f t="shared" si="11"/>
        <v>0</v>
      </c>
      <c r="CT615" s="1495"/>
      <c r="CU615" s="1495"/>
      <c r="CV615" s="1495"/>
      <c r="CW615" s="1495"/>
      <c r="CX615" s="1495">
        <f t="shared" si="12"/>
        <v>0</v>
      </c>
      <c r="CY615" s="1495"/>
      <c r="CZ615" s="1495"/>
      <c r="DA615" s="1495"/>
      <c r="DB615" s="1495"/>
      <c r="DC615" s="1495">
        <f t="shared" si="13"/>
        <v>0</v>
      </c>
      <c r="DD615" s="1495"/>
      <c r="DE615" s="1495"/>
      <c r="DF615" s="1495"/>
      <c r="DG615" s="1495"/>
      <c r="DH615" s="1495">
        <f t="shared" si="14"/>
        <v>0</v>
      </c>
      <c r="DI615" s="1495"/>
      <c r="DJ615" s="1495"/>
      <c r="DK615" s="1495"/>
      <c r="DL615" s="1495"/>
      <c r="DM615" s="1495">
        <f t="shared" si="15"/>
        <v>0</v>
      </c>
      <c r="DN615" s="1495"/>
      <c r="DO615" s="1495"/>
      <c r="DP615" s="1495"/>
      <c r="DQ615" s="1495"/>
      <c r="DR615" s="1495">
        <f t="shared" si="16"/>
        <v>0</v>
      </c>
      <c r="DS615" s="1495"/>
      <c r="DT615" s="1495"/>
      <c r="DU615" s="1495"/>
      <c r="DV615" s="1495"/>
      <c r="DX615" s="1482" t="str">
        <f t="shared" si="17"/>
        <v/>
      </c>
      <c r="DY615" s="1483"/>
      <c r="DZ615" s="1483"/>
      <c r="EA615" s="1483"/>
      <c r="EB615" s="1484"/>
      <c r="EC615" s="1482">
        <f t="shared" si="18"/>
        <v>1161</v>
      </c>
      <c r="ED615" s="1483"/>
      <c r="EE615" s="1483"/>
      <c r="EF615" s="1483"/>
      <c r="EG615" s="1484"/>
      <c r="EH615" s="1482" t="str">
        <f t="shared" si="19"/>
        <v/>
      </c>
      <c r="EI615" s="1483"/>
      <c r="EJ615" s="1483"/>
      <c r="EK615" s="1483"/>
      <c r="EL615" s="1484"/>
      <c r="EM615" s="1482" t="str">
        <f t="shared" si="20"/>
        <v/>
      </c>
      <c r="EN615" s="1483"/>
      <c r="EO615" s="1483"/>
      <c r="EP615" s="1483"/>
      <c r="EQ615" s="1484"/>
      <c r="ER615" s="1482" t="str">
        <f t="shared" si="21"/>
        <v/>
      </c>
      <c r="ES615" s="1483"/>
      <c r="ET615" s="1483"/>
      <c r="EU615" s="1483"/>
      <c r="EV615" s="1484"/>
      <c r="EW615" s="1482" t="str">
        <f t="shared" si="22"/>
        <v/>
      </c>
      <c r="EX615" s="1483"/>
      <c r="EY615" s="1483"/>
      <c r="EZ615" s="1483"/>
      <c r="FA615" s="1484"/>
    </row>
    <row r="616" spans="1:157" ht="12.95" customHeight="1">
      <c r="AZ616" s="3"/>
      <c r="BA616" s="3"/>
      <c r="BB616" s="3"/>
      <c r="BC616" s="3"/>
      <c r="BD616" s="3"/>
      <c r="BE616" s="1482">
        <f t="shared" si="1"/>
        <v>0</v>
      </c>
      <c r="BF616" s="1484"/>
      <c r="BG616" s="1492">
        <f t="shared" si="2"/>
        <v>0</v>
      </c>
      <c r="BH616" s="1494"/>
      <c r="BI616" s="1482">
        <f t="shared" si="3"/>
        <v>0</v>
      </c>
      <c r="BJ616" s="1484"/>
      <c r="BK616" s="1492">
        <f t="shared" si="4"/>
        <v>0</v>
      </c>
      <c r="BL616" s="1494"/>
      <c r="BM616" s="3"/>
      <c r="BN616" s="1486">
        <f t="shared" si="5"/>
        <v>0</v>
      </c>
      <c r="BO616" s="1487"/>
      <c r="BP616" s="1487"/>
      <c r="BQ616" s="1487"/>
      <c r="BR616" s="1488"/>
      <c r="BS616" s="1485">
        <f t="shared" si="6"/>
        <v>0</v>
      </c>
      <c r="BT616" s="1485"/>
      <c r="BU616" s="1485"/>
      <c r="BV616" s="1485"/>
      <c r="BW616" s="1485"/>
      <c r="BX616" s="1485">
        <f t="shared" si="7"/>
        <v>8</v>
      </c>
      <c r="BY616" s="1485"/>
      <c r="BZ616" s="1485"/>
      <c r="CA616" s="1485"/>
      <c r="CB616" s="1485"/>
      <c r="CC616" s="1485">
        <f t="shared" si="8"/>
        <v>0</v>
      </c>
      <c r="CD616" s="1485"/>
      <c r="CE616" s="1485"/>
      <c r="CF616" s="1485"/>
      <c r="CG616" s="1485"/>
      <c r="CH616" s="1485">
        <f t="shared" si="9"/>
        <v>0</v>
      </c>
      <c r="CI616" s="1485"/>
      <c r="CJ616" s="1485"/>
      <c r="CK616" s="1485"/>
      <c r="CL616" s="1485"/>
      <c r="CM616" s="1485">
        <f t="shared" si="10"/>
        <v>0</v>
      </c>
      <c r="CN616" s="1485"/>
      <c r="CO616" s="1485"/>
      <c r="CP616" s="1485"/>
      <c r="CQ616" s="1485"/>
      <c r="CR616" s="6"/>
      <c r="CS616" s="1495">
        <f t="shared" si="11"/>
        <v>0</v>
      </c>
      <c r="CT616" s="1495"/>
      <c r="CU616" s="1495"/>
      <c r="CV616" s="1495"/>
      <c r="CW616" s="1495"/>
      <c r="CX616" s="1495">
        <f t="shared" si="12"/>
        <v>0</v>
      </c>
      <c r="CY616" s="1495"/>
      <c r="CZ616" s="1495"/>
      <c r="DA616" s="1495"/>
      <c r="DB616" s="1495"/>
      <c r="DC616" s="1495">
        <f t="shared" si="13"/>
        <v>0</v>
      </c>
      <c r="DD616" s="1495"/>
      <c r="DE616" s="1495"/>
      <c r="DF616" s="1495"/>
      <c r="DG616" s="1495"/>
      <c r="DH616" s="1495">
        <f t="shared" si="14"/>
        <v>0</v>
      </c>
      <c r="DI616" s="1495"/>
      <c r="DJ616" s="1495"/>
      <c r="DK616" s="1495"/>
      <c r="DL616" s="1495"/>
      <c r="DM616" s="1495">
        <f t="shared" si="15"/>
        <v>0</v>
      </c>
      <c r="DN616" s="1495"/>
      <c r="DO616" s="1495"/>
      <c r="DP616" s="1495"/>
      <c r="DQ616" s="1495"/>
      <c r="DR616" s="1495">
        <f t="shared" si="16"/>
        <v>0</v>
      </c>
      <c r="DS616" s="1495"/>
      <c r="DT616" s="1495"/>
      <c r="DU616" s="1495"/>
      <c r="DV616" s="1495"/>
      <c r="DX616" s="1482" t="str">
        <f t="shared" si="17"/>
        <v/>
      </c>
      <c r="DY616" s="1483"/>
      <c r="DZ616" s="1483"/>
      <c r="EA616" s="1483"/>
      <c r="EB616" s="1484"/>
      <c r="EC616" s="1482" t="str">
        <f t="shared" si="18"/>
        <v/>
      </c>
      <c r="ED616" s="1483"/>
      <c r="EE616" s="1483"/>
      <c r="EF616" s="1483"/>
      <c r="EG616" s="1484"/>
      <c r="EH616" s="1482">
        <f t="shared" si="19"/>
        <v>1377</v>
      </c>
      <c r="EI616" s="1483"/>
      <c r="EJ616" s="1483"/>
      <c r="EK616" s="1483"/>
      <c r="EL616" s="1484"/>
      <c r="EM616" s="1482" t="str">
        <f t="shared" si="20"/>
        <v/>
      </c>
      <c r="EN616" s="1483"/>
      <c r="EO616" s="1483"/>
      <c r="EP616" s="1483"/>
      <c r="EQ616" s="1484"/>
      <c r="ER616" s="1482" t="str">
        <f t="shared" si="21"/>
        <v/>
      </c>
      <c r="ES616" s="1483"/>
      <c r="ET616" s="1483"/>
      <c r="EU616" s="1483"/>
      <c r="EV616" s="1484"/>
      <c r="EW616" s="1482" t="str">
        <f t="shared" si="22"/>
        <v/>
      </c>
      <c r="EX616" s="1483"/>
      <c r="EY616" s="1483"/>
      <c r="EZ616" s="1483"/>
      <c r="FA616" s="1484"/>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2">
        <f t="shared" si="1"/>
        <v>0</v>
      </c>
      <c r="BF617" s="1484"/>
      <c r="BG617" s="1492">
        <f t="shared" si="2"/>
        <v>0</v>
      </c>
      <c r="BH617" s="1494"/>
      <c r="BI617" s="1482">
        <f t="shared" si="3"/>
        <v>0</v>
      </c>
      <c r="BJ617" s="1484"/>
      <c r="BK617" s="1492">
        <f t="shared" si="4"/>
        <v>0</v>
      </c>
      <c r="BL617" s="1494"/>
      <c r="BM617" s="3"/>
      <c r="BN617" s="1486">
        <f t="shared" si="5"/>
        <v>0</v>
      </c>
      <c r="BO617" s="1487"/>
      <c r="BP617" s="1487"/>
      <c r="BQ617" s="1487"/>
      <c r="BR617" s="1488"/>
      <c r="BS617" s="1485">
        <f t="shared" si="6"/>
        <v>0</v>
      </c>
      <c r="BT617" s="1485"/>
      <c r="BU617" s="1485"/>
      <c r="BV617" s="1485"/>
      <c r="BW617" s="1485"/>
      <c r="BX617" s="1485">
        <f t="shared" si="7"/>
        <v>0</v>
      </c>
      <c r="BY617" s="1485"/>
      <c r="BZ617" s="1485"/>
      <c r="CA617" s="1485"/>
      <c r="CB617" s="1485"/>
      <c r="CC617" s="1485">
        <f t="shared" si="8"/>
        <v>5</v>
      </c>
      <c r="CD617" s="1485"/>
      <c r="CE617" s="1485"/>
      <c r="CF617" s="1485"/>
      <c r="CG617" s="1485"/>
      <c r="CH617" s="1485">
        <f t="shared" si="9"/>
        <v>0</v>
      </c>
      <c r="CI617" s="1485"/>
      <c r="CJ617" s="1485"/>
      <c r="CK617" s="1485"/>
      <c r="CL617" s="1485"/>
      <c r="CM617" s="1485">
        <f t="shared" si="10"/>
        <v>0</v>
      </c>
      <c r="CN617" s="1485"/>
      <c r="CO617" s="1485"/>
      <c r="CP617" s="1485"/>
      <c r="CQ617" s="1485"/>
      <c r="CR617" s="6"/>
      <c r="CS617" s="1495">
        <f t="shared" si="11"/>
        <v>0</v>
      </c>
      <c r="CT617" s="1495"/>
      <c r="CU617" s="1495"/>
      <c r="CV617" s="1495"/>
      <c r="CW617" s="1495"/>
      <c r="CX617" s="1495">
        <f t="shared" si="12"/>
        <v>0</v>
      </c>
      <c r="CY617" s="1495"/>
      <c r="CZ617" s="1495"/>
      <c r="DA617" s="1495"/>
      <c r="DB617" s="1495"/>
      <c r="DC617" s="1495">
        <f t="shared" si="13"/>
        <v>0</v>
      </c>
      <c r="DD617" s="1495"/>
      <c r="DE617" s="1495"/>
      <c r="DF617" s="1495"/>
      <c r="DG617" s="1495"/>
      <c r="DH617" s="1495">
        <f t="shared" si="14"/>
        <v>0</v>
      </c>
      <c r="DI617" s="1495"/>
      <c r="DJ617" s="1495"/>
      <c r="DK617" s="1495"/>
      <c r="DL617" s="1495"/>
      <c r="DM617" s="1495">
        <f t="shared" si="15"/>
        <v>0</v>
      </c>
      <c r="DN617" s="1495"/>
      <c r="DO617" s="1495"/>
      <c r="DP617" s="1495"/>
      <c r="DQ617" s="1495"/>
      <c r="DR617" s="1495">
        <f t="shared" si="16"/>
        <v>0</v>
      </c>
      <c r="DS617" s="1495"/>
      <c r="DT617" s="1495"/>
      <c r="DU617" s="1495"/>
      <c r="DV617" s="1495"/>
      <c r="DX617" s="1482" t="str">
        <f t="shared" si="17"/>
        <v/>
      </c>
      <c r="DY617" s="1483"/>
      <c r="DZ617" s="1483"/>
      <c r="EA617" s="1483"/>
      <c r="EB617" s="1484"/>
      <c r="EC617" s="1482" t="str">
        <f t="shared" si="18"/>
        <v/>
      </c>
      <c r="ED617" s="1483"/>
      <c r="EE617" s="1483"/>
      <c r="EF617" s="1483"/>
      <c r="EG617" s="1484"/>
      <c r="EH617" s="1482" t="str">
        <f t="shared" si="19"/>
        <v/>
      </c>
      <c r="EI617" s="1483"/>
      <c r="EJ617" s="1483"/>
      <c r="EK617" s="1483"/>
      <c r="EL617" s="1484"/>
      <c r="EM617" s="1482">
        <f t="shared" si="20"/>
        <v>1579</v>
      </c>
      <c r="EN617" s="1483"/>
      <c r="EO617" s="1483"/>
      <c r="EP617" s="1483"/>
      <c r="EQ617" s="1484"/>
      <c r="ER617" s="1482" t="str">
        <f t="shared" si="21"/>
        <v/>
      </c>
      <c r="ES617" s="1483"/>
      <c r="ET617" s="1483"/>
      <c r="EU617" s="1483"/>
      <c r="EV617" s="1484"/>
      <c r="EW617" s="1482" t="str">
        <f t="shared" si="22"/>
        <v/>
      </c>
      <c r="EX617" s="1483"/>
      <c r="EY617" s="1483"/>
      <c r="EZ617" s="1483"/>
      <c r="FA617" s="1484"/>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2">
        <f t="shared" si="1"/>
        <v>0</v>
      </c>
      <c r="BF618" s="1484"/>
      <c r="BG618" s="1492">
        <f t="shared" si="2"/>
        <v>0</v>
      </c>
      <c r="BH618" s="1494"/>
      <c r="BI618" s="1482">
        <f t="shared" si="3"/>
        <v>0</v>
      </c>
      <c r="BJ618" s="1484"/>
      <c r="BK618" s="1492">
        <f t="shared" si="4"/>
        <v>0</v>
      </c>
      <c r="BL618" s="1494"/>
      <c r="BM618" s="3"/>
      <c r="BN618" s="1486">
        <f t="shared" si="5"/>
        <v>0</v>
      </c>
      <c r="BO618" s="1487"/>
      <c r="BP618" s="1487"/>
      <c r="BQ618" s="1487"/>
      <c r="BR618" s="1488"/>
      <c r="BS618" s="1485">
        <f t="shared" si="6"/>
        <v>0</v>
      </c>
      <c r="BT618" s="1485"/>
      <c r="BU618" s="1485"/>
      <c r="BV618" s="1485"/>
      <c r="BW618" s="1485"/>
      <c r="BX618" s="1485">
        <f t="shared" si="7"/>
        <v>0</v>
      </c>
      <c r="BY618" s="1485"/>
      <c r="BZ618" s="1485"/>
      <c r="CA618" s="1485"/>
      <c r="CB618" s="1485"/>
      <c r="CC618" s="1485">
        <f t="shared" si="8"/>
        <v>0</v>
      </c>
      <c r="CD618" s="1485"/>
      <c r="CE618" s="1485"/>
      <c r="CF618" s="1485"/>
      <c r="CG618" s="1485"/>
      <c r="CH618" s="1485">
        <f t="shared" si="9"/>
        <v>0</v>
      </c>
      <c r="CI618" s="1485"/>
      <c r="CJ618" s="1485"/>
      <c r="CK618" s="1485"/>
      <c r="CL618" s="1485"/>
      <c r="CM618" s="1485">
        <f t="shared" si="10"/>
        <v>0</v>
      </c>
      <c r="CN618" s="1485"/>
      <c r="CO618" s="1485"/>
      <c r="CP618" s="1485"/>
      <c r="CQ618" s="1485"/>
      <c r="CR618" s="6"/>
      <c r="CS618" s="1495">
        <f t="shared" si="11"/>
        <v>0</v>
      </c>
      <c r="CT618" s="1495"/>
      <c r="CU618" s="1495"/>
      <c r="CV618" s="1495"/>
      <c r="CW618" s="1495"/>
      <c r="CX618" s="1495">
        <f t="shared" si="12"/>
        <v>0</v>
      </c>
      <c r="CY618" s="1495"/>
      <c r="CZ618" s="1495"/>
      <c r="DA618" s="1495"/>
      <c r="DB618" s="1495"/>
      <c r="DC618" s="1495">
        <f t="shared" si="13"/>
        <v>0</v>
      </c>
      <c r="DD618" s="1495"/>
      <c r="DE618" s="1495"/>
      <c r="DF618" s="1495"/>
      <c r="DG618" s="1495"/>
      <c r="DH618" s="1495">
        <f t="shared" si="14"/>
        <v>0</v>
      </c>
      <c r="DI618" s="1495"/>
      <c r="DJ618" s="1495"/>
      <c r="DK618" s="1495"/>
      <c r="DL618" s="1495"/>
      <c r="DM618" s="1495">
        <f t="shared" si="15"/>
        <v>0</v>
      </c>
      <c r="DN618" s="1495"/>
      <c r="DO618" s="1495"/>
      <c r="DP618" s="1495"/>
      <c r="DQ618" s="1495"/>
      <c r="DR618" s="1495">
        <f t="shared" si="16"/>
        <v>0</v>
      </c>
      <c r="DS618" s="1495"/>
      <c r="DT618" s="1495"/>
      <c r="DU618" s="1495"/>
      <c r="DV618" s="1495"/>
      <c r="DX618" s="1482" t="str">
        <f t="shared" si="17"/>
        <v/>
      </c>
      <c r="DY618" s="1483"/>
      <c r="DZ618" s="1483"/>
      <c r="EA618" s="1483"/>
      <c r="EB618" s="1484"/>
      <c r="EC618" s="1482" t="str">
        <f t="shared" si="18"/>
        <v/>
      </c>
      <c r="ED618" s="1483"/>
      <c r="EE618" s="1483"/>
      <c r="EF618" s="1483"/>
      <c r="EG618" s="1484"/>
      <c r="EH618" s="1482" t="str">
        <f t="shared" si="19"/>
        <v/>
      </c>
      <c r="EI618" s="1483"/>
      <c r="EJ618" s="1483"/>
      <c r="EK618" s="1483"/>
      <c r="EL618" s="1484"/>
      <c r="EM618" s="1482" t="str">
        <f t="shared" si="20"/>
        <v/>
      </c>
      <c r="EN618" s="1483"/>
      <c r="EO618" s="1483"/>
      <c r="EP618" s="1483"/>
      <c r="EQ618" s="1484"/>
      <c r="ER618" s="1482" t="str">
        <f t="shared" si="21"/>
        <v/>
      </c>
      <c r="ES618" s="1483"/>
      <c r="ET618" s="1483"/>
      <c r="EU618" s="1483"/>
      <c r="EV618" s="1484"/>
      <c r="EW618" s="1482" t="str">
        <f t="shared" si="22"/>
        <v/>
      </c>
      <c r="EX618" s="1483"/>
      <c r="EY618" s="1483"/>
      <c r="EZ618" s="1483"/>
      <c r="FA618" s="1484"/>
    </row>
    <row r="619" spans="1:157" ht="12.95" customHeight="1">
      <c r="AZ619" s="3"/>
      <c r="BA619" s="3"/>
      <c r="BB619" s="3"/>
      <c r="BC619" s="3"/>
      <c r="BD619" s="3"/>
      <c r="BE619" s="1482">
        <f t="shared" si="1"/>
        <v>0</v>
      </c>
      <c r="BF619" s="1484"/>
      <c r="BG619" s="1492">
        <f t="shared" si="2"/>
        <v>0</v>
      </c>
      <c r="BH619" s="1494"/>
      <c r="BI619" s="1482">
        <f t="shared" si="3"/>
        <v>0</v>
      </c>
      <c r="BJ619" s="1484"/>
      <c r="BK619" s="1492">
        <f t="shared" si="4"/>
        <v>0</v>
      </c>
      <c r="BL619" s="1494"/>
      <c r="BM619" s="3"/>
      <c r="BN619" s="1486">
        <f t="shared" si="5"/>
        <v>0</v>
      </c>
      <c r="BO619" s="1487"/>
      <c r="BP619" s="1487"/>
      <c r="BQ619" s="1487"/>
      <c r="BR619" s="1488"/>
      <c r="BS619" s="1485">
        <f t="shared" si="6"/>
        <v>0</v>
      </c>
      <c r="BT619" s="1485"/>
      <c r="BU619" s="1485"/>
      <c r="BV619" s="1485"/>
      <c r="BW619" s="1485"/>
      <c r="BX619" s="1485">
        <f t="shared" si="7"/>
        <v>0</v>
      </c>
      <c r="BY619" s="1485"/>
      <c r="BZ619" s="1485"/>
      <c r="CA619" s="1485"/>
      <c r="CB619" s="1485"/>
      <c r="CC619" s="1485">
        <f t="shared" si="8"/>
        <v>0</v>
      </c>
      <c r="CD619" s="1485"/>
      <c r="CE619" s="1485"/>
      <c r="CF619" s="1485"/>
      <c r="CG619" s="1485"/>
      <c r="CH619" s="1485">
        <f t="shared" si="9"/>
        <v>0</v>
      </c>
      <c r="CI619" s="1485"/>
      <c r="CJ619" s="1485"/>
      <c r="CK619" s="1485"/>
      <c r="CL619" s="1485"/>
      <c r="CM619" s="1485">
        <f t="shared" si="10"/>
        <v>0</v>
      </c>
      <c r="CN619" s="1485"/>
      <c r="CO619" s="1485"/>
      <c r="CP619" s="1485"/>
      <c r="CQ619" s="1485"/>
      <c r="CR619" s="6"/>
      <c r="CS619" s="1495">
        <f t="shared" si="11"/>
        <v>0</v>
      </c>
      <c r="CT619" s="1495"/>
      <c r="CU619" s="1495"/>
      <c r="CV619" s="1495"/>
      <c r="CW619" s="1495"/>
      <c r="CX619" s="1495">
        <f t="shared" si="12"/>
        <v>0</v>
      </c>
      <c r="CY619" s="1495"/>
      <c r="CZ619" s="1495"/>
      <c r="DA619" s="1495"/>
      <c r="DB619" s="1495"/>
      <c r="DC619" s="1495">
        <f t="shared" si="13"/>
        <v>0</v>
      </c>
      <c r="DD619" s="1495"/>
      <c r="DE619" s="1495"/>
      <c r="DF619" s="1495"/>
      <c r="DG619" s="1495"/>
      <c r="DH619" s="1495">
        <f t="shared" si="14"/>
        <v>0</v>
      </c>
      <c r="DI619" s="1495"/>
      <c r="DJ619" s="1495"/>
      <c r="DK619" s="1495"/>
      <c r="DL619" s="1495"/>
      <c r="DM619" s="1495">
        <f t="shared" si="15"/>
        <v>0</v>
      </c>
      <c r="DN619" s="1495"/>
      <c r="DO619" s="1495"/>
      <c r="DP619" s="1495"/>
      <c r="DQ619" s="1495"/>
      <c r="DR619" s="1495">
        <f t="shared" si="16"/>
        <v>0</v>
      </c>
      <c r="DS619" s="1495"/>
      <c r="DT619" s="1495"/>
      <c r="DU619" s="1495"/>
      <c r="DV619" s="1495"/>
      <c r="DX619" s="1482" t="str">
        <f t="shared" si="17"/>
        <v/>
      </c>
      <c r="DY619" s="1483"/>
      <c r="DZ619" s="1483"/>
      <c r="EA619" s="1483"/>
      <c r="EB619" s="1484"/>
      <c r="EC619" s="1482" t="str">
        <f t="shared" si="18"/>
        <v/>
      </c>
      <c r="ED619" s="1483"/>
      <c r="EE619" s="1483"/>
      <c r="EF619" s="1483"/>
      <c r="EG619" s="1484"/>
      <c r="EH619" s="1482" t="str">
        <f t="shared" si="19"/>
        <v/>
      </c>
      <c r="EI619" s="1483"/>
      <c r="EJ619" s="1483"/>
      <c r="EK619" s="1483"/>
      <c r="EL619" s="1484"/>
      <c r="EM619" s="1482" t="str">
        <f t="shared" si="20"/>
        <v/>
      </c>
      <c r="EN619" s="1483"/>
      <c r="EO619" s="1483"/>
      <c r="EP619" s="1483"/>
      <c r="EQ619" s="1484"/>
      <c r="ER619" s="1482" t="str">
        <f t="shared" si="21"/>
        <v/>
      </c>
      <c r="ES619" s="1483"/>
      <c r="ET619" s="1483"/>
      <c r="EU619" s="1483"/>
      <c r="EV619" s="1484"/>
      <c r="EW619" s="1482" t="str">
        <f t="shared" si="22"/>
        <v/>
      </c>
      <c r="EX619" s="1483"/>
      <c r="EY619" s="1483"/>
      <c r="EZ619" s="1483"/>
      <c r="FA619" s="1484"/>
    </row>
    <row r="620" spans="1:157" ht="12.95" customHeight="1">
      <c r="A620" s="2" t="s">
        <v>320</v>
      </c>
      <c r="B620" s="2"/>
      <c r="C620" s="2" t="s">
        <v>21</v>
      </c>
      <c r="AZ620" s="3"/>
      <c r="BA620" s="3"/>
      <c r="BB620" s="3"/>
      <c r="BC620" s="3"/>
      <c r="BD620" s="3"/>
      <c r="BE620" s="1482">
        <f t="shared" si="1"/>
        <v>0</v>
      </c>
      <c r="BF620" s="1484"/>
      <c r="BG620" s="1492">
        <f t="shared" si="2"/>
        <v>0</v>
      </c>
      <c r="BH620" s="1494"/>
      <c r="BI620" s="1482">
        <f t="shared" si="3"/>
        <v>0</v>
      </c>
      <c r="BJ620" s="1484"/>
      <c r="BK620" s="1492">
        <f t="shared" si="4"/>
        <v>0</v>
      </c>
      <c r="BL620" s="1494"/>
      <c r="BM620" s="3"/>
      <c r="BN620" s="1486">
        <f t="shared" si="5"/>
        <v>0</v>
      </c>
      <c r="BO620" s="1487"/>
      <c r="BP620" s="1487"/>
      <c r="BQ620" s="1487"/>
      <c r="BR620" s="1488"/>
      <c r="BS620" s="1485">
        <f t="shared" si="6"/>
        <v>0</v>
      </c>
      <c r="BT620" s="1485"/>
      <c r="BU620" s="1485"/>
      <c r="BV620" s="1485"/>
      <c r="BW620" s="1485"/>
      <c r="BX620" s="1485">
        <f t="shared" si="7"/>
        <v>0</v>
      </c>
      <c r="BY620" s="1485"/>
      <c r="BZ620" s="1485"/>
      <c r="CA620" s="1485"/>
      <c r="CB620" s="1485"/>
      <c r="CC620" s="1485">
        <f t="shared" si="8"/>
        <v>0</v>
      </c>
      <c r="CD620" s="1485"/>
      <c r="CE620" s="1485"/>
      <c r="CF620" s="1485"/>
      <c r="CG620" s="1485"/>
      <c r="CH620" s="1485">
        <f t="shared" si="9"/>
        <v>0</v>
      </c>
      <c r="CI620" s="1485"/>
      <c r="CJ620" s="1485"/>
      <c r="CK620" s="1485"/>
      <c r="CL620" s="1485"/>
      <c r="CM620" s="1485">
        <f t="shared" si="10"/>
        <v>0</v>
      </c>
      <c r="CN620" s="1485"/>
      <c r="CO620" s="1485"/>
      <c r="CP620" s="1485"/>
      <c r="CQ620" s="1485"/>
      <c r="CR620" s="6"/>
      <c r="CS620" s="1495">
        <f t="shared" si="11"/>
        <v>0</v>
      </c>
      <c r="CT620" s="1495"/>
      <c r="CU620" s="1495"/>
      <c r="CV620" s="1495"/>
      <c r="CW620" s="1495"/>
      <c r="CX620" s="1495">
        <f t="shared" si="12"/>
        <v>0</v>
      </c>
      <c r="CY620" s="1495"/>
      <c r="CZ620" s="1495"/>
      <c r="DA620" s="1495"/>
      <c r="DB620" s="1495"/>
      <c r="DC620" s="1495">
        <f t="shared" si="13"/>
        <v>0</v>
      </c>
      <c r="DD620" s="1495"/>
      <c r="DE620" s="1495"/>
      <c r="DF620" s="1495"/>
      <c r="DG620" s="1495"/>
      <c r="DH620" s="1495">
        <f t="shared" si="14"/>
        <v>0</v>
      </c>
      <c r="DI620" s="1495"/>
      <c r="DJ620" s="1495"/>
      <c r="DK620" s="1495"/>
      <c r="DL620" s="1495"/>
      <c r="DM620" s="1495">
        <f t="shared" si="15"/>
        <v>0</v>
      </c>
      <c r="DN620" s="1495"/>
      <c r="DO620" s="1495"/>
      <c r="DP620" s="1495"/>
      <c r="DQ620" s="1495"/>
      <c r="DR620" s="1495">
        <f t="shared" si="16"/>
        <v>0</v>
      </c>
      <c r="DS620" s="1495"/>
      <c r="DT620" s="1495"/>
      <c r="DU620" s="1495"/>
      <c r="DV620" s="1495"/>
      <c r="DX620" s="1482" t="str">
        <f t="shared" si="17"/>
        <v/>
      </c>
      <c r="DY620" s="1483"/>
      <c r="DZ620" s="1483"/>
      <c r="EA620" s="1483"/>
      <c r="EB620" s="1484"/>
      <c r="EC620" s="1482" t="str">
        <f t="shared" si="18"/>
        <v/>
      </c>
      <c r="ED620" s="1483"/>
      <c r="EE620" s="1483"/>
      <c r="EF620" s="1483"/>
      <c r="EG620" s="1484"/>
      <c r="EH620" s="1482" t="str">
        <f t="shared" si="19"/>
        <v/>
      </c>
      <c r="EI620" s="1483"/>
      <c r="EJ620" s="1483"/>
      <c r="EK620" s="1483"/>
      <c r="EL620" s="1484"/>
      <c r="EM620" s="1482" t="str">
        <f t="shared" si="20"/>
        <v/>
      </c>
      <c r="EN620" s="1483"/>
      <c r="EO620" s="1483"/>
      <c r="EP620" s="1483"/>
      <c r="EQ620" s="1484"/>
      <c r="ER620" s="1482" t="str">
        <f t="shared" si="21"/>
        <v/>
      </c>
      <c r="ES620" s="1483"/>
      <c r="ET620" s="1483"/>
      <c r="EU620" s="1483"/>
      <c r="EV620" s="1484"/>
      <c r="EW620" s="1482" t="str">
        <f t="shared" si="22"/>
        <v/>
      </c>
      <c r="EX620" s="1483"/>
      <c r="EY620" s="1483"/>
      <c r="EZ620" s="1483"/>
      <c r="FA620" s="1484"/>
    </row>
    <row r="621" spans="1:157" ht="12.95" customHeight="1">
      <c r="A621" s="2"/>
      <c r="B621" s="2"/>
      <c r="C621" s="2"/>
      <c r="AZ621" s="3"/>
      <c r="BA621" s="3"/>
      <c r="BB621" s="3"/>
      <c r="BC621" s="3"/>
      <c r="BD621" s="3"/>
      <c r="BE621" s="1482">
        <f t="shared" si="1"/>
        <v>0</v>
      </c>
      <c r="BF621" s="1484"/>
      <c r="BG621" s="1492">
        <f t="shared" si="2"/>
        <v>0</v>
      </c>
      <c r="BH621" s="1494"/>
      <c r="BI621" s="1482">
        <f t="shared" si="3"/>
        <v>0</v>
      </c>
      <c r="BJ621" s="1484"/>
      <c r="BK621" s="1492">
        <f t="shared" si="4"/>
        <v>0</v>
      </c>
      <c r="BL621" s="1494"/>
      <c r="BM621" s="3"/>
      <c r="BN621" s="1486">
        <f t="shared" si="5"/>
        <v>0</v>
      </c>
      <c r="BO621" s="1487"/>
      <c r="BP621" s="1487"/>
      <c r="BQ621" s="1487"/>
      <c r="BR621" s="1488"/>
      <c r="BS621" s="1485">
        <f t="shared" si="6"/>
        <v>0</v>
      </c>
      <c r="BT621" s="1485"/>
      <c r="BU621" s="1485"/>
      <c r="BV621" s="1485"/>
      <c r="BW621" s="1485"/>
      <c r="BX621" s="1485">
        <f t="shared" si="7"/>
        <v>0</v>
      </c>
      <c r="BY621" s="1485"/>
      <c r="BZ621" s="1485"/>
      <c r="CA621" s="1485"/>
      <c r="CB621" s="1485"/>
      <c r="CC621" s="1485">
        <f t="shared" si="8"/>
        <v>0</v>
      </c>
      <c r="CD621" s="1485"/>
      <c r="CE621" s="1485"/>
      <c r="CF621" s="1485"/>
      <c r="CG621" s="1485"/>
      <c r="CH621" s="1485">
        <f t="shared" si="9"/>
        <v>0</v>
      </c>
      <c r="CI621" s="1485"/>
      <c r="CJ621" s="1485"/>
      <c r="CK621" s="1485"/>
      <c r="CL621" s="1485"/>
      <c r="CM621" s="1485">
        <f t="shared" si="10"/>
        <v>0</v>
      </c>
      <c r="CN621" s="1485"/>
      <c r="CO621" s="1485"/>
      <c r="CP621" s="1485"/>
      <c r="CQ621" s="1485"/>
      <c r="CR621" s="6"/>
      <c r="CS621" s="1495">
        <f t="shared" si="11"/>
        <v>0</v>
      </c>
      <c r="CT621" s="1495"/>
      <c r="CU621" s="1495"/>
      <c r="CV621" s="1495"/>
      <c r="CW621" s="1495"/>
      <c r="CX621" s="1495">
        <f t="shared" si="12"/>
        <v>0</v>
      </c>
      <c r="CY621" s="1495"/>
      <c r="CZ621" s="1495"/>
      <c r="DA621" s="1495"/>
      <c r="DB621" s="1495"/>
      <c r="DC621" s="1495">
        <f t="shared" si="13"/>
        <v>0</v>
      </c>
      <c r="DD621" s="1495"/>
      <c r="DE621" s="1495"/>
      <c r="DF621" s="1495"/>
      <c r="DG621" s="1495"/>
      <c r="DH621" s="1495">
        <f t="shared" si="14"/>
        <v>0</v>
      </c>
      <c r="DI621" s="1495"/>
      <c r="DJ621" s="1495"/>
      <c r="DK621" s="1495"/>
      <c r="DL621" s="1495"/>
      <c r="DM621" s="1495">
        <f t="shared" si="15"/>
        <v>0</v>
      </c>
      <c r="DN621" s="1495"/>
      <c r="DO621" s="1495"/>
      <c r="DP621" s="1495"/>
      <c r="DQ621" s="1495"/>
      <c r="DR621" s="1495">
        <f t="shared" si="16"/>
        <v>0</v>
      </c>
      <c r="DS621" s="1495"/>
      <c r="DT621" s="1495"/>
      <c r="DU621" s="1495"/>
      <c r="DV621" s="1495"/>
      <c r="DX621" s="1482" t="str">
        <f t="shared" si="17"/>
        <v/>
      </c>
      <c r="DY621" s="1483"/>
      <c r="DZ621" s="1483"/>
      <c r="EA621" s="1483"/>
      <c r="EB621" s="1484"/>
      <c r="EC621" s="1482" t="str">
        <f t="shared" si="18"/>
        <v/>
      </c>
      <c r="ED621" s="1483"/>
      <c r="EE621" s="1483"/>
      <c r="EF621" s="1483"/>
      <c r="EG621" s="1484"/>
      <c r="EH621" s="1482" t="str">
        <f t="shared" si="19"/>
        <v/>
      </c>
      <c r="EI621" s="1483"/>
      <c r="EJ621" s="1483"/>
      <c r="EK621" s="1483"/>
      <c r="EL621" s="1484"/>
      <c r="EM621" s="1482" t="str">
        <f t="shared" si="20"/>
        <v/>
      </c>
      <c r="EN621" s="1483"/>
      <c r="EO621" s="1483"/>
      <c r="EP621" s="1483"/>
      <c r="EQ621" s="1484"/>
      <c r="ER621" s="1482" t="str">
        <f t="shared" si="21"/>
        <v/>
      </c>
      <c r="ES621" s="1483"/>
      <c r="ET621" s="1483"/>
      <c r="EU621" s="1483"/>
      <c r="EV621" s="1484"/>
      <c r="EW621" s="1482" t="str">
        <f t="shared" si="22"/>
        <v/>
      </c>
      <c r="EX621" s="1483"/>
      <c r="EY621" s="1483"/>
      <c r="EZ621" s="1483"/>
      <c r="FA621" s="1484"/>
    </row>
    <row r="622" spans="1:157" ht="12.95" customHeight="1">
      <c r="C622" s="2" t="s">
        <v>2416</v>
      </c>
      <c r="AZ622" s="3"/>
      <c r="BA622" s="3"/>
      <c r="BB622" s="3"/>
      <c r="BC622" s="3"/>
      <c r="BD622" s="3"/>
      <c r="BE622" s="1482">
        <f t="shared" si="1"/>
        <v>0</v>
      </c>
      <c r="BF622" s="1484"/>
      <c r="BG622" s="1492">
        <f t="shared" si="2"/>
        <v>0</v>
      </c>
      <c r="BH622" s="1494"/>
      <c r="BI622" s="1482">
        <f t="shared" si="3"/>
        <v>0</v>
      </c>
      <c r="BJ622" s="1484"/>
      <c r="BK622" s="1492">
        <f t="shared" si="4"/>
        <v>0</v>
      </c>
      <c r="BL622" s="1494"/>
      <c r="BM622" s="3"/>
      <c r="BN622" s="1486">
        <f t="shared" si="5"/>
        <v>0</v>
      </c>
      <c r="BO622" s="1487"/>
      <c r="BP622" s="1487"/>
      <c r="BQ622" s="1487"/>
      <c r="BR622" s="1488"/>
      <c r="BS622" s="1485">
        <f t="shared" si="6"/>
        <v>0</v>
      </c>
      <c r="BT622" s="1485"/>
      <c r="BU622" s="1485"/>
      <c r="BV622" s="1485"/>
      <c r="BW622" s="1485"/>
      <c r="BX622" s="1485">
        <f t="shared" si="7"/>
        <v>0</v>
      </c>
      <c r="BY622" s="1485"/>
      <c r="BZ622" s="1485"/>
      <c r="CA622" s="1485"/>
      <c r="CB622" s="1485"/>
      <c r="CC622" s="1485">
        <f t="shared" si="8"/>
        <v>0</v>
      </c>
      <c r="CD622" s="1485"/>
      <c r="CE622" s="1485"/>
      <c r="CF622" s="1485"/>
      <c r="CG622" s="1485"/>
      <c r="CH622" s="1485">
        <f t="shared" si="9"/>
        <v>0</v>
      </c>
      <c r="CI622" s="1485"/>
      <c r="CJ622" s="1485"/>
      <c r="CK622" s="1485"/>
      <c r="CL622" s="1485"/>
      <c r="CM622" s="1485">
        <f t="shared" si="10"/>
        <v>0</v>
      </c>
      <c r="CN622" s="1485"/>
      <c r="CO622" s="1485"/>
      <c r="CP622" s="1485"/>
      <c r="CQ622" s="1485"/>
      <c r="CR622" s="6"/>
      <c r="CS622" s="1495">
        <f t="shared" si="11"/>
        <v>0</v>
      </c>
      <c r="CT622" s="1495"/>
      <c r="CU622" s="1495"/>
      <c r="CV622" s="1495"/>
      <c r="CW622" s="1495"/>
      <c r="CX622" s="1495">
        <f t="shared" si="12"/>
        <v>0</v>
      </c>
      <c r="CY622" s="1495"/>
      <c r="CZ622" s="1495"/>
      <c r="DA622" s="1495"/>
      <c r="DB622" s="1495"/>
      <c r="DC622" s="1495">
        <f t="shared" si="13"/>
        <v>0</v>
      </c>
      <c r="DD622" s="1495"/>
      <c r="DE622" s="1495"/>
      <c r="DF622" s="1495"/>
      <c r="DG622" s="1495"/>
      <c r="DH622" s="1495">
        <f t="shared" si="14"/>
        <v>0</v>
      </c>
      <c r="DI622" s="1495"/>
      <c r="DJ622" s="1495"/>
      <c r="DK622" s="1495"/>
      <c r="DL622" s="1495"/>
      <c r="DM622" s="1495">
        <f t="shared" si="15"/>
        <v>0</v>
      </c>
      <c r="DN622" s="1495"/>
      <c r="DO622" s="1495"/>
      <c r="DP622" s="1495"/>
      <c r="DQ622" s="1495"/>
      <c r="DR622" s="1495">
        <f t="shared" si="16"/>
        <v>0</v>
      </c>
      <c r="DS622" s="1495"/>
      <c r="DT622" s="1495"/>
      <c r="DU622" s="1495"/>
      <c r="DV622" s="1495"/>
      <c r="DX622" s="1482" t="str">
        <f t="shared" si="17"/>
        <v/>
      </c>
      <c r="DY622" s="1483"/>
      <c r="DZ622" s="1483"/>
      <c r="EA622" s="1483"/>
      <c r="EB622" s="1484"/>
      <c r="EC622" s="1482" t="str">
        <f t="shared" si="18"/>
        <v/>
      </c>
      <c r="ED622" s="1483"/>
      <c r="EE622" s="1483"/>
      <c r="EF622" s="1483"/>
      <c r="EG622" s="1484"/>
      <c r="EH622" s="1482" t="str">
        <f t="shared" si="19"/>
        <v/>
      </c>
      <c r="EI622" s="1483"/>
      <c r="EJ622" s="1483"/>
      <c r="EK622" s="1483"/>
      <c r="EL622" s="1484"/>
      <c r="EM622" s="1482" t="str">
        <f t="shared" si="20"/>
        <v/>
      </c>
      <c r="EN622" s="1483"/>
      <c r="EO622" s="1483"/>
      <c r="EP622" s="1483"/>
      <c r="EQ622" s="1484"/>
      <c r="ER622" s="1482" t="str">
        <f t="shared" si="21"/>
        <v/>
      </c>
      <c r="ES622" s="1483"/>
      <c r="ET622" s="1483"/>
      <c r="EU622" s="1483"/>
      <c r="EV622" s="1484"/>
      <c r="EW622" s="1482" t="str">
        <f t="shared" si="22"/>
        <v/>
      </c>
      <c r="EX622" s="1483"/>
      <c r="EY622" s="1483"/>
      <c r="EZ622" s="1483"/>
      <c r="FA622" s="1484"/>
    </row>
    <row r="623" spans="1:157" ht="12.95" customHeight="1">
      <c r="B623" s="546"/>
      <c r="C623" s="2"/>
      <c r="AU623" s="3"/>
      <c r="AZ623" s="3"/>
      <c r="BA623" s="3"/>
      <c r="BB623" s="3"/>
      <c r="BC623" s="3"/>
      <c r="BD623" s="3"/>
      <c r="BE623" s="1482">
        <f t="shared" si="1"/>
        <v>0</v>
      </c>
      <c r="BF623" s="1484"/>
      <c r="BG623" s="1492">
        <f t="shared" si="2"/>
        <v>0</v>
      </c>
      <c r="BH623" s="1494"/>
      <c r="BI623" s="1482">
        <f t="shared" si="3"/>
        <v>0</v>
      </c>
      <c r="BJ623" s="1484"/>
      <c r="BK623" s="1492">
        <f t="shared" si="4"/>
        <v>0</v>
      </c>
      <c r="BL623" s="1494"/>
      <c r="BM623" s="3"/>
      <c r="BN623" s="1486">
        <f t="shared" si="5"/>
        <v>0</v>
      </c>
      <c r="BO623" s="1487"/>
      <c r="BP623" s="1487"/>
      <c r="BQ623" s="1487"/>
      <c r="BR623" s="1488"/>
      <c r="BS623" s="1485">
        <f t="shared" si="6"/>
        <v>0</v>
      </c>
      <c r="BT623" s="1485"/>
      <c r="BU623" s="1485"/>
      <c r="BV623" s="1485"/>
      <c r="BW623" s="1485"/>
      <c r="BX623" s="1485">
        <f t="shared" si="7"/>
        <v>0</v>
      </c>
      <c r="BY623" s="1485"/>
      <c r="BZ623" s="1485"/>
      <c r="CA623" s="1485"/>
      <c r="CB623" s="1485"/>
      <c r="CC623" s="1485">
        <f t="shared" si="8"/>
        <v>0</v>
      </c>
      <c r="CD623" s="1485"/>
      <c r="CE623" s="1485"/>
      <c r="CF623" s="1485"/>
      <c r="CG623" s="1485"/>
      <c r="CH623" s="1485">
        <f t="shared" si="9"/>
        <v>0</v>
      </c>
      <c r="CI623" s="1485"/>
      <c r="CJ623" s="1485"/>
      <c r="CK623" s="1485"/>
      <c r="CL623" s="1485"/>
      <c r="CM623" s="1485">
        <f t="shared" si="10"/>
        <v>0</v>
      </c>
      <c r="CN623" s="1485"/>
      <c r="CO623" s="1485"/>
      <c r="CP623" s="1485"/>
      <c r="CQ623" s="1485"/>
      <c r="CR623" s="6"/>
      <c r="CS623" s="1495">
        <f t="shared" si="11"/>
        <v>0</v>
      </c>
      <c r="CT623" s="1495"/>
      <c r="CU623" s="1495"/>
      <c r="CV623" s="1495"/>
      <c r="CW623" s="1495"/>
      <c r="CX623" s="1495">
        <f t="shared" si="12"/>
        <v>0</v>
      </c>
      <c r="CY623" s="1495"/>
      <c r="CZ623" s="1495"/>
      <c r="DA623" s="1495"/>
      <c r="DB623" s="1495"/>
      <c r="DC623" s="1495">
        <f t="shared" si="13"/>
        <v>0</v>
      </c>
      <c r="DD623" s="1495"/>
      <c r="DE623" s="1495"/>
      <c r="DF623" s="1495"/>
      <c r="DG623" s="1495"/>
      <c r="DH623" s="1495">
        <f t="shared" si="14"/>
        <v>0</v>
      </c>
      <c r="DI623" s="1495"/>
      <c r="DJ623" s="1495"/>
      <c r="DK623" s="1495"/>
      <c r="DL623" s="1495"/>
      <c r="DM623" s="1495">
        <f t="shared" si="15"/>
        <v>0</v>
      </c>
      <c r="DN623" s="1495"/>
      <c r="DO623" s="1495"/>
      <c r="DP623" s="1495"/>
      <c r="DQ623" s="1495"/>
      <c r="DR623" s="1495">
        <f t="shared" si="16"/>
        <v>0</v>
      </c>
      <c r="DS623" s="1495"/>
      <c r="DT623" s="1495"/>
      <c r="DU623" s="1495"/>
      <c r="DV623" s="1495"/>
      <c r="DX623" s="1482" t="str">
        <f t="shared" si="17"/>
        <v/>
      </c>
      <c r="DY623" s="1483"/>
      <c r="DZ623" s="1483"/>
      <c r="EA623" s="1483"/>
      <c r="EB623" s="1484"/>
      <c r="EC623" s="1482" t="str">
        <f t="shared" si="18"/>
        <v/>
      </c>
      <c r="ED623" s="1483"/>
      <c r="EE623" s="1483"/>
      <c r="EF623" s="1483"/>
      <c r="EG623" s="1484"/>
      <c r="EH623" s="1482" t="str">
        <f t="shared" si="19"/>
        <v/>
      </c>
      <c r="EI623" s="1483"/>
      <c r="EJ623" s="1483"/>
      <c r="EK623" s="1483"/>
      <c r="EL623" s="1484"/>
      <c r="EM623" s="1482" t="str">
        <f t="shared" si="20"/>
        <v/>
      </c>
      <c r="EN623" s="1483"/>
      <c r="EO623" s="1483"/>
      <c r="EP623" s="1483"/>
      <c r="EQ623" s="1484"/>
      <c r="ER623" s="1482" t="str">
        <f t="shared" si="21"/>
        <v/>
      </c>
      <c r="ES623" s="1483"/>
      <c r="ET623" s="1483"/>
      <c r="EU623" s="1483"/>
      <c r="EV623" s="1484"/>
      <c r="EW623" s="1482" t="str">
        <f t="shared" si="22"/>
        <v/>
      </c>
      <c r="EX623" s="1483"/>
      <c r="EY623" s="1483"/>
      <c r="EZ623" s="1483"/>
      <c r="FA623" s="1484"/>
    </row>
    <row r="624" spans="1:157" ht="12.95" customHeight="1">
      <c r="B624" s="1505" t="s">
        <v>2418</v>
      </c>
      <c r="C624" s="1505"/>
      <c r="D624" s="1505"/>
      <c r="E624" s="1505"/>
      <c r="F624" s="1505"/>
      <c r="G624" s="1505"/>
      <c r="H624" s="1505"/>
      <c r="I624" s="1505"/>
      <c r="J624" s="1505"/>
      <c r="K624" s="1505"/>
      <c r="L624" s="1505"/>
      <c r="M624" s="1464" t="s">
        <v>2419</v>
      </c>
      <c r="N624" s="1464"/>
      <c r="O624" s="1464"/>
      <c r="P624" s="1464"/>
      <c r="Q624" s="1464" t="s">
        <v>2045</v>
      </c>
      <c r="R624" s="1464"/>
      <c r="S624" s="1464"/>
      <c r="T624" s="1464" t="s">
        <v>2043</v>
      </c>
      <c r="U624" s="1464"/>
      <c r="V624" s="1464"/>
      <c r="W624" s="1467" t="s">
        <v>462</v>
      </c>
      <c r="X624" s="1467"/>
      <c r="Y624" s="1467"/>
      <c r="Z624" s="1499" t="s">
        <v>2448</v>
      </c>
      <c r="AA624" s="1499"/>
      <c r="AB624" s="1500"/>
      <c r="AC624" s="1709" t="s">
        <v>1866</v>
      </c>
      <c r="AD624" s="1710"/>
      <c r="AE624" s="1711"/>
      <c r="AF624" s="1633" t="s">
        <v>2227</v>
      </c>
      <c r="AG624" s="1499"/>
      <c r="AH624" s="1499"/>
      <c r="AI624" s="1499"/>
      <c r="AJ624" s="1500"/>
      <c r="AK624" s="1638" t="s">
        <v>2228</v>
      </c>
      <c r="AL624" s="1639"/>
      <c r="AM624" s="1639"/>
      <c r="AN624" s="1640"/>
      <c r="AO624" s="1464" t="s">
        <v>463</v>
      </c>
      <c r="AP624" s="1464"/>
      <c r="AQ624" s="1464"/>
      <c r="AR624" s="1464"/>
      <c r="AS624" s="1464"/>
      <c r="AU624" s="3"/>
      <c r="AZ624" s="3"/>
      <c r="BA624" s="3"/>
      <c r="BB624" s="3"/>
      <c r="BC624" s="3"/>
      <c r="BD624" s="3"/>
      <c r="BE624" s="1482">
        <f t="shared" si="1"/>
        <v>0</v>
      </c>
      <c r="BF624" s="1484"/>
      <c r="BG624" s="1492">
        <f t="shared" si="2"/>
        <v>0</v>
      </c>
      <c r="BH624" s="1494"/>
      <c r="BI624" s="1482">
        <f t="shared" si="3"/>
        <v>0</v>
      </c>
      <c r="BJ624" s="1484"/>
      <c r="BK624" s="1492">
        <f t="shared" si="4"/>
        <v>0</v>
      </c>
      <c r="BL624" s="1494"/>
      <c r="BM624" s="3"/>
      <c r="BN624" s="1486">
        <f t="shared" si="5"/>
        <v>0</v>
      </c>
      <c r="BO624" s="1487"/>
      <c r="BP624" s="1487"/>
      <c r="BQ624" s="1487"/>
      <c r="BR624" s="1488"/>
      <c r="BS624" s="1485">
        <f t="shared" si="6"/>
        <v>0</v>
      </c>
      <c r="BT624" s="1485"/>
      <c r="BU624" s="1485"/>
      <c r="BV624" s="1485"/>
      <c r="BW624" s="1485"/>
      <c r="BX624" s="1485">
        <f t="shared" si="7"/>
        <v>0</v>
      </c>
      <c r="BY624" s="1485"/>
      <c r="BZ624" s="1485"/>
      <c r="CA624" s="1485"/>
      <c r="CB624" s="1485"/>
      <c r="CC624" s="1485">
        <f t="shared" si="8"/>
        <v>0</v>
      </c>
      <c r="CD624" s="1485"/>
      <c r="CE624" s="1485"/>
      <c r="CF624" s="1485"/>
      <c r="CG624" s="1485"/>
      <c r="CH624" s="1485">
        <f t="shared" si="9"/>
        <v>0</v>
      </c>
      <c r="CI624" s="1485"/>
      <c r="CJ624" s="1485"/>
      <c r="CK624" s="1485"/>
      <c r="CL624" s="1485"/>
      <c r="CM624" s="1485">
        <f t="shared" si="10"/>
        <v>0</v>
      </c>
      <c r="CN624" s="1485"/>
      <c r="CO624" s="1485"/>
      <c r="CP624" s="1485"/>
      <c r="CQ624" s="1485"/>
      <c r="CR624" s="6"/>
      <c r="CS624" s="1495">
        <f t="shared" si="11"/>
        <v>0</v>
      </c>
      <c r="CT624" s="1495"/>
      <c r="CU624" s="1495"/>
      <c r="CV624" s="1495"/>
      <c r="CW624" s="1495"/>
      <c r="CX624" s="1495">
        <f t="shared" si="12"/>
        <v>0</v>
      </c>
      <c r="CY624" s="1495"/>
      <c r="CZ624" s="1495"/>
      <c r="DA624" s="1495"/>
      <c r="DB624" s="1495"/>
      <c r="DC624" s="1495">
        <f t="shared" si="13"/>
        <v>0</v>
      </c>
      <c r="DD624" s="1495"/>
      <c r="DE624" s="1495"/>
      <c r="DF624" s="1495"/>
      <c r="DG624" s="1495"/>
      <c r="DH624" s="1495">
        <f t="shared" si="14"/>
        <v>0</v>
      </c>
      <c r="DI624" s="1495"/>
      <c r="DJ624" s="1495"/>
      <c r="DK624" s="1495"/>
      <c r="DL624" s="1495"/>
      <c r="DM624" s="1495">
        <f t="shared" si="15"/>
        <v>0</v>
      </c>
      <c r="DN624" s="1495"/>
      <c r="DO624" s="1495"/>
      <c r="DP624" s="1495"/>
      <c r="DQ624" s="1495"/>
      <c r="DR624" s="1495">
        <f t="shared" si="16"/>
        <v>0</v>
      </c>
      <c r="DS624" s="1495"/>
      <c r="DT624" s="1495"/>
      <c r="DU624" s="1495"/>
      <c r="DV624" s="1495"/>
      <c r="DX624" s="1482" t="str">
        <f t="shared" si="17"/>
        <v/>
      </c>
      <c r="DY624" s="1483"/>
      <c r="DZ624" s="1483"/>
      <c r="EA624" s="1483"/>
      <c r="EB624" s="1484"/>
      <c r="EC624" s="1482" t="str">
        <f t="shared" si="18"/>
        <v/>
      </c>
      <c r="ED624" s="1483"/>
      <c r="EE624" s="1483"/>
      <c r="EF624" s="1483"/>
      <c r="EG624" s="1484"/>
      <c r="EH624" s="1482" t="str">
        <f t="shared" si="19"/>
        <v/>
      </c>
      <c r="EI624" s="1483"/>
      <c r="EJ624" s="1483"/>
      <c r="EK624" s="1483"/>
      <c r="EL624" s="1484"/>
      <c r="EM624" s="1482" t="str">
        <f t="shared" si="20"/>
        <v/>
      </c>
      <c r="EN624" s="1483"/>
      <c r="EO624" s="1483"/>
      <c r="EP624" s="1483"/>
      <c r="EQ624" s="1484"/>
      <c r="ER624" s="1482" t="str">
        <f t="shared" si="21"/>
        <v/>
      </c>
      <c r="ES624" s="1483"/>
      <c r="ET624" s="1483"/>
      <c r="EU624" s="1483"/>
      <c r="EV624" s="1484"/>
      <c r="EW624" s="1482" t="str">
        <f t="shared" si="22"/>
        <v/>
      </c>
      <c r="EX624" s="1483"/>
      <c r="EY624" s="1483"/>
      <c r="EZ624" s="1483"/>
      <c r="FA624" s="1484"/>
    </row>
    <row r="625" spans="2:157" ht="12.95" customHeight="1">
      <c r="B625" s="1505"/>
      <c r="C625" s="1505"/>
      <c r="D625" s="1505"/>
      <c r="E625" s="1505"/>
      <c r="F625" s="1505"/>
      <c r="G625" s="1505"/>
      <c r="H625" s="1505"/>
      <c r="I625" s="1505"/>
      <c r="J625" s="1505"/>
      <c r="K625" s="1505"/>
      <c r="L625" s="1505"/>
      <c r="M625" s="1464"/>
      <c r="N625" s="1464"/>
      <c r="O625" s="1464"/>
      <c r="P625" s="1464"/>
      <c r="Q625" s="1464"/>
      <c r="R625" s="1464"/>
      <c r="S625" s="1464"/>
      <c r="T625" s="1464"/>
      <c r="U625" s="1464"/>
      <c r="V625" s="1464"/>
      <c r="W625" s="1467"/>
      <c r="X625" s="1467"/>
      <c r="Y625" s="1467"/>
      <c r="Z625" s="1501"/>
      <c r="AA625" s="1501"/>
      <c r="AB625" s="1502"/>
      <c r="AC625" s="1712"/>
      <c r="AD625" s="1713"/>
      <c r="AE625" s="1714"/>
      <c r="AF625" s="1634"/>
      <c r="AG625" s="1501"/>
      <c r="AH625" s="1501"/>
      <c r="AI625" s="1501"/>
      <c r="AJ625" s="1502"/>
      <c r="AK625" s="1641"/>
      <c r="AL625" s="1642"/>
      <c r="AM625" s="1642"/>
      <c r="AN625" s="1643"/>
      <c r="AO625" s="1464"/>
      <c r="AP625" s="1464"/>
      <c r="AQ625" s="1464"/>
      <c r="AR625" s="1464"/>
      <c r="AS625" s="1464"/>
      <c r="AU625" s="3"/>
      <c r="AZ625" s="3"/>
      <c r="BA625" s="3"/>
      <c r="BB625" s="3"/>
      <c r="BC625" s="3"/>
      <c r="BD625" s="3"/>
      <c r="BE625" s="1482">
        <f t="shared" si="1"/>
        <v>0</v>
      </c>
      <c r="BF625" s="1484"/>
      <c r="BG625" s="1492">
        <f t="shared" si="2"/>
        <v>0</v>
      </c>
      <c r="BH625" s="1494"/>
      <c r="BI625" s="1482">
        <f t="shared" si="3"/>
        <v>0</v>
      </c>
      <c r="BJ625" s="1484"/>
      <c r="BK625" s="1492">
        <f t="shared" si="4"/>
        <v>0</v>
      </c>
      <c r="BL625" s="1494"/>
      <c r="BM625" s="3"/>
      <c r="BN625" s="1486">
        <f t="shared" si="5"/>
        <v>0</v>
      </c>
      <c r="BO625" s="1487"/>
      <c r="BP625" s="1487"/>
      <c r="BQ625" s="1487"/>
      <c r="BR625" s="1488"/>
      <c r="BS625" s="1485">
        <f t="shared" si="6"/>
        <v>0</v>
      </c>
      <c r="BT625" s="1485"/>
      <c r="BU625" s="1485"/>
      <c r="BV625" s="1485"/>
      <c r="BW625" s="1485"/>
      <c r="BX625" s="1485">
        <f t="shared" si="7"/>
        <v>0</v>
      </c>
      <c r="BY625" s="1485"/>
      <c r="BZ625" s="1485"/>
      <c r="CA625" s="1485"/>
      <c r="CB625" s="1485"/>
      <c r="CC625" s="1485">
        <f t="shared" si="8"/>
        <v>0</v>
      </c>
      <c r="CD625" s="1485"/>
      <c r="CE625" s="1485"/>
      <c r="CF625" s="1485"/>
      <c r="CG625" s="1485"/>
      <c r="CH625" s="1485">
        <f t="shared" si="9"/>
        <v>0</v>
      </c>
      <c r="CI625" s="1485"/>
      <c r="CJ625" s="1485"/>
      <c r="CK625" s="1485"/>
      <c r="CL625" s="1485"/>
      <c r="CM625" s="1485">
        <f t="shared" si="10"/>
        <v>0</v>
      </c>
      <c r="CN625" s="1485"/>
      <c r="CO625" s="1485"/>
      <c r="CP625" s="1485"/>
      <c r="CQ625" s="1485"/>
      <c r="CR625" s="6"/>
      <c r="CS625" s="1495">
        <f t="shared" si="11"/>
        <v>0</v>
      </c>
      <c r="CT625" s="1495"/>
      <c r="CU625" s="1495"/>
      <c r="CV625" s="1495"/>
      <c r="CW625" s="1495"/>
      <c r="CX625" s="1495">
        <f t="shared" si="12"/>
        <v>0</v>
      </c>
      <c r="CY625" s="1495"/>
      <c r="CZ625" s="1495"/>
      <c r="DA625" s="1495"/>
      <c r="DB625" s="1495"/>
      <c r="DC625" s="1495">
        <f t="shared" si="13"/>
        <v>0</v>
      </c>
      <c r="DD625" s="1495"/>
      <c r="DE625" s="1495"/>
      <c r="DF625" s="1495"/>
      <c r="DG625" s="1495"/>
      <c r="DH625" s="1495">
        <f t="shared" si="14"/>
        <v>0</v>
      </c>
      <c r="DI625" s="1495"/>
      <c r="DJ625" s="1495"/>
      <c r="DK625" s="1495"/>
      <c r="DL625" s="1495"/>
      <c r="DM625" s="1495">
        <f t="shared" si="15"/>
        <v>0</v>
      </c>
      <c r="DN625" s="1495"/>
      <c r="DO625" s="1495"/>
      <c r="DP625" s="1495"/>
      <c r="DQ625" s="1495"/>
      <c r="DR625" s="1495">
        <f t="shared" si="16"/>
        <v>0</v>
      </c>
      <c r="DS625" s="1495"/>
      <c r="DT625" s="1495"/>
      <c r="DU625" s="1495"/>
      <c r="DV625" s="1495"/>
      <c r="DX625" s="1482" t="str">
        <f t="shared" si="17"/>
        <v/>
      </c>
      <c r="DY625" s="1483"/>
      <c r="DZ625" s="1483"/>
      <c r="EA625" s="1483"/>
      <c r="EB625" s="1484"/>
      <c r="EC625" s="1482" t="str">
        <f t="shared" si="18"/>
        <v/>
      </c>
      <c r="ED625" s="1483"/>
      <c r="EE625" s="1483"/>
      <c r="EF625" s="1483"/>
      <c r="EG625" s="1484"/>
      <c r="EH625" s="1482" t="str">
        <f t="shared" si="19"/>
        <v/>
      </c>
      <c r="EI625" s="1483"/>
      <c r="EJ625" s="1483"/>
      <c r="EK625" s="1483"/>
      <c r="EL625" s="1484"/>
      <c r="EM625" s="1482" t="str">
        <f t="shared" si="20"/>
        <v/>
      </c>
      <c r="EN625" s="1483"/>
      <c r="EO625" s="1483"/>
      <c r="EP625" s="1483"/>
      <c r="EQ625" s="1484"/>
      <c r="ER625" s="1482" t="str">
        <f t="shared" si="21"/>
        <v/>
      </c>
      <c r="ES625" s="1483"/>
      <c r="ET625" s="1483"/>
      <c r="EU625" s="1483"/>
      <c r="EV625" s="1484"/>
      <c r="EW625" s="1482" t="str">
        <f t="shared" si="22"/>
        <v/>
      </c>
      <c r="EX625" s="1483"/>
      <c r="EY625" s="1483"/>
      <c r="EZ625" s="1483"/>
      <c r="FA625" s="1484"/>
    </row>
    <row r="626" spans="2:157" ht="12.95" customHeight="1">
      <c r="B626" s="1505"/>
      <c r="C626" s="1505"/>
      <c r="D626" s="1505"/>
      <c r="E626" s="1505"/>
      <c r="F626" s="1505"/>
      <c r="G626" s="1505"/>
      <c r="H626" s="1505"/>
      <c r="I626" s="1505"/>
      <c r="J626" s="1505"/>
      <c r="K626" s="1505"/>
      <c r="L626" s="1505"/>
      <c r="M626" s="1464"/>
      <c r="N626" s="1464"/>
      <c r="O626" s="1464"/>
      <c r="P626" s="1464"/>
      <c r="Q626" s="1464"/>
      <c r="R626" s="1464"/>
      <c r="S626" s="1464"/>
      <c r="T626" s="1464"/>
      <c r="U626" s="1464"/>
      <c r="V626" s="1464"/>
      <c r="W626" s="1467"/>
      <c r="X626" s="1467"/>
      <c r="Y626" s="1467"/>
      <c r="Z626" s="1503"/>
      <c r="AA626" s="1503"/>
      <c r="AB626" s="1504"/>
      <c r="AC626" s="1715"/>
      <c r="AD626" s="1716"/>
      <c r="AE626" s="1717"/>
      <c r="AF626" s="1635"/>
      <c r="AG626" s="1503"/>
      <c r="AH626" s="1503"/>
      <c r="AI626" s="1503"/>
      <c r="AJ626" s="1504"/>
      <c r="AK626" s="1644"/>
      <c r="AL626" s="1645"/>
      <c r="AM626" s="1645"/>
      <c r="AN626" s="1646"/>
      <c r="AO626" s="1464"/>
      <c r="AP626" s="1464"/>
      <c r="AQ626" s="1464"/>
      <c r="AR626" s="1464"/>
      <c r="AS626" s="1464"/>
      <c r="AT626" s="3"/>
      <c r="AU626" s="3"/>
      <c r="AZ626" s="3"/>
      <c r="BA626" s="3"/>
      <c r="BB626" s="3"/>
      <c r="BC626" s="3"/>
      <c r="BD626" s="3"/>
      <c r="BE626" s="1482">
        <f t="shared" si="1"/>
        <v>0</v>
      </c>
      <c r="BF626" s="1484"/>
      <c r="BG626" s="1492">
        <f t="shared" si="2"/>
        <v>0</v>
      </c>
      <c r="BH626" s="1494"/>
      <c r="BI626" s="1482">
        <f t="shared" si="3"/>
        <v>0</v>
      </c>
      <c r="BJ626" s="1484"/>
      <c r="BK626" s="1492">
        <f t="shared" si="4"/>
        <v>0</v>
      </c>
      <c r="BL626" s="1494"/>
      <c r="BM626" s="3"/>
      <c r="BN626" s="1486">
        <f t="shared" si="5"/>
        <v>0</v>
      </c>
      <c r="BO626" s="1487"/>
      <c r="BP626" s="1487"/>
      <c r="BQ626" s="1487"/>
      <c r="BR626" s="1488"/>
      <c r="BS626" s="1485">
        <f t="shared" si="6"/>
        <v>0</v>
      </c>
      <c r="BT626" s="1485"/>
      <c r="BU626" s="1485"/>
      <c r="BV626" s="1485"/>
      <c r="BW626" s="1485"/>
      <c r="BX626" s="1485">
        <f t="shared" si="7"/>
        <v>0</v>
      </c>
      <c r="BY626" s="1485"/>
      <c r="BZ626" s="1485"/>
      <c r="CA626" s="1485"/>
      <c r="CB626" s="1485"/>
      <c r="CC626" s="1485">
        <f t="shared" si="8"/>
        <v>0</v>
      </c>
      <c r="CD626" s="1485"/>
      <c r="CE626" s="1485"/>
      <c r="CF626" s="1485"/>
      <c r="CG626" s="1485"/>
      <c r="CH626" s="1485">
        <f t="shared" si="9"/>
        <v>0</v>
      </c>
      <c r="CI626" s="1485"/>
      <c r="CJ626" s="1485"/>
      <c r="CK626" s="1485"/>
      <c r="CL626" s="1485"/>
      <c r="CM626" s="1485">
        <f t="shared" si="10"/>
        <v>0</v>
      </c>
      <c r="CN626" s="1485"/>
      <c r="CO626" s="1485"/>
      <c r="CP626" s="1485"/>
      <c r="CQ626" s="1485"/>
      <c r="CR626" s="6"/>
      <c r="CS626" s="1495">
        <f t="shared" si="11"/>
        <v>0</v>
      </c>
      <c r="CT626" s="1495"/>
      <c r="CU626" s="1495"/>
      <c r="CV626" s="1495"/>
      <c r="CW626" s="1495"/>
      <c r="CX626" s="1495">
        <f t="shared" si="12"/>
        <v>0</v>
      </c>
      <c r="CY626" s="1495"/>
      <c r="CZ626" s="1495"/>
      <c r="DA626" s="1495"/>
      <c r="DB626" s="1495"/>
      <c r="DC626" s="1495">
        <f t="shared" si="13"/>
        <v>0</v>
      </c>
      <c r="DD626" s="1495"/>
      <c r="DE626" s="1495"/>
      <c r="DF626" s="1495"/>
      <c r="DG626" s="1495"/>
      <c r="DH626" s="1495">
        <f t="shared" si="14"/>
        <v>0</v>
      </c>
      <c r="DI626" s="1495"/>
      <c r="DJ626" s="1495"/>
      <c r="DK626" s="1495"/>
      <c r="DL626" s="1495"/>
      <c r="DM626" s="1495">
        <f t="shared" si="15"/>
        <v>0</v>
      </c>
      <c r="DN626" s="1495"/>
      <c r="DO626" s="1495"/>
      <c r="DP626" s="1495"/>
      <c r="DQ626" s="1495"/>
      <c r="DR626" s="1495">
        <f t="shared" si="16"/>
        <v>0</v>
      </c>
      <c r="DS626" s="1495"/>
      <c r="DT626" s="1495"/>
      <c r="DU626" s="1495"/>
      <c r="DV626" s="1495"/>
      <c r="DX626" s="1482" t="str">
        <f t="shared" si="17"/>
        <v/>
      </c>
      <c r="DY626" s="1483"/>
      <c r="DZ626" s="1483"/>
      <c r="EA626" s="1483"/>
      <c r="EB626" s="1484"/>
      <c r="EC626" s="1482" t="str">
        <f t="shared" si="18"/>
        <v/>
      </c>
      <c r="ED626" s="1483"/>
      <c r="EE626" s="1483"/>
      <c r="EF626" s="1483"/>
      <c r="EG626" s="1484"/>
      <c r="EH626" s="1482" t="str">
        <f t="shared" si="19"/>
        <v/>
      </c>
      <c r="EI626" s="1483"/>
      <c r="EJ626" s="1483"/>
      <c r="EK626" s="1483"/>
      <c r="EL626" s="1484"/>
      <c r="EM626" s="1482" t="str">
        <f t="shared" si="20"/>
        <v/>
      </c>
      <c r="EN626" s="1483"/>
      <c r="EO626" s="1483"/>
      <c r="EP626" s="1483"/>
      <c r="EQ626" s="1484"/>
      <c r="ER626" s="1482" t="str">
        <f t="shared" si="21"/>
        <v/>
      </c>
      <c r="ES626" s="1483"/>
      <c r="ET626" s="1483"/>
      <c r="EU626" s="1483"/>
      <c r="EV626" s="1484"/>
      <c r="EW626" s="1482" t="str">
        <f t="shared" si="22"/>
        <v/>
      </c>
      <c r="EX626" s="1483"/>
      <c r="EY626" s="1483"/>
      <c r="EZ626" s="1483"/>
      <c r="FA626" s="1484"/>
    </row>
    <row r="627" spans="2:157" ht="12.95" customHeight="1">
      <c r="B627" s="51" t="s">
        <v>112</v>
      </c>
      <c r="C627" s="1708" t="s">
        <v>2782</v>
      </c>
      <c r="D627" s="1708"/>
      <c r="E627" s="1708"/>
      <c r="F627" s="1708"/>
      <c r="G627" s="1708"/>
      <c r="H627" s="1708"/>
      <c r="I627" s="1708"/>
      <c r="J627" s="1708"/>
      <c r="K627" s="1708"/>
      <c r="L627" s="1708"/>
      <c r="M627" s="1449" t="s">
        <v>2435</v>
      </c>
      <c r="N627" s="1449"/>
      <c r="O627" s="1449"/>
      <c r="P627" s="1449"/>
      <c r="Q627" s="1459">
        <f>17*12</f>
        <v>204</v>
      </c>
      <c r="R627" s="1459"/>
      <c r="S627" s="1460"/>
      <c r="T627" s="1458">
        <v>480</v>
      </c>
      <c r="U627" s="1459"/>
      <c r="V627" s="1460"/>
      <c r="W627" s="1455">
        <v>5.8740000000000001E-2</v>
      </c>
      <c r="X627" s="1456"/>
      <c r="Y627" s="1457"/>
      <c r="Z627" s="1496" t="s">
        <v>2447</v>
      </c>
      <c r="AA627" s="1497"/>
      <c r="AB627" s="1498"/>
      <c r="AC627" s="1452">
        <v>1</v>
      </c>
      <c r="AD627" s="1453"/>
      <c r="AE627" s="1454"/>
      <c r="AF627" s="1381">
        <v>1652208.67</v>
      </c>
      <c r="AG627" s="1382"/>
      <c r="AH627" s="1382"/>
      <c r="AI627" s="1382"/>
      <c r="AJ627" s="1383"/>
      <c r="AK627" s="1461"/>
      <c r="AL627" s="1462"/>
      <c r="AM627" s="1462"/>
      <c r="AN627" s="1463"/>
      <c r="AO627" s="1506">
        <v>25428494</v>
      </c>
      <c r="AP627" s="1506"/>
      <c r="AQ627" s="1506"/>
      <c r="AR627" s="1506"/>
      <c r="AS627" s="1506"/>
      <c r="AT627" s="3"/>
      <c r="AU627" s="3"/>
      <c r="AZ627" s="3"/>
      <c r="BA627" s="3"/>
      <c r="BB627" s="3"/>
      <c r="BC627" s="3"/>
      <c r="BD627" s="3"/>
      <c r="BE627" s="1482">
        <f t="shared" si="1"/>
        <v>0</v>
      </c>
      <c r="BF627" s="1484"/>
      <c r="BG627" s="1492">
        <f t="shared" si="2"/>
        <v>0</v>
      </c>
      <c r="BH627" s="1494"/>
      <c r="BI627" s="1482">
        <f t="shared" si="3"/>
        <v>0</v>
      </c>
      <c r="BJ627" s="1484"/>
      <c r="BK627" s="1492">
        <f t="shared" si="4"/>
        <v>0</v>
      </c>
      <c r="BL627" s="1494"/>
      <c r="BM627" s="3"/>
      <c r="BN627" s="1486">
        <f t="shared" si="5"/>
        <v>0</v>
      </c>
      <c r="BO627" s="1487"/>
      <c r="BP627" s="1487"/>
      <c r="BQ627" s="1487"/>
      <c r="BR627" s="1488"/>
      <c r="BS627" s="1485">
        <f t="shared" si="6"/>
        <v>0</v>
      </c>
      <c r="BT627" s="1485"/>
      <c r="BU627" s="1485"/>
      <c r="BV627" s="1485"/>
      <c r="BW627" s="1485"/>
      <c r="BX627" s="1485">
        <f t="shared" si="7"/>
        <v>0</v>
      </c>
      <c r="BY627" s="1485"/>
      <c r="BZ627" s="1485"/>
      <c r="CA627" s="1485"/>
      <c r="CB627" s="1485"/>
      <c r="CC627" s="1485">
        <f t="shared" si="8"/>
        <v>0</v>
      </c>
      <c r="CD627" s="1485"/>
      <c r="CE627" s="1485"/>
      <c r="CF627" s="1485"/>
      <c r="CG627" s="1485"/>
      <c r="CH627" s="1485">
        <f t="shared" si="9"/>
        <v>0</v>
      </c>
      <c r="CI627" s="1485"/>
      <c r="CJ627" s="1485"/>
      <c r="CK627" s="1485"/>
      <c r="CL627" s="1485"/>
      <c r="CM627" s="1485">
        <f t="shared" si="10"/>
        <v>0</v>
      </c>
      <c r="CN627" s="1485"/>
      <c r="CO627" s="1485"/>
      <c r="CP627" s="1485"/>
      <c r="CQ627" s="1485"/>
      <c r="CR627" s="6"/>
      <c r="CS627" s="1495">
        <f t="shared" si="11"/>
        <v>0</v>
      </c>
      <c r="CT627" s="1495"/>
      <c r="CU627" s="1495"/>
      <c r="CV627" s="1495"/>
      <c r="CW627" s="1495"/>
      <c r="CX627" s="1495">
        <f t="shared" si="12"/>
        <v>0</v>
      </c>
      <c r="CY627" s="1495"/>
      <c r="CZ627" s="1495"/>
      <c r="DA627" s="1495"/>
      <c r="DB627" s="1495"/>
      <c r="DC627" s="1495">
        <f t="shared" si="13"/>
        <v>0</v>
      </c>
      <c r="DD627" s="1495"/>
      <c r="DE627" s="1495"/>
      <c r="DF627" s="1495"/>
      <c r="DG627" s="1495"/>
      <c r="DH627" s="1495">
        <f t="shared" si="14"/>
        <v>0</v>
      </c>
      <c r="DI627" s="1495"/>
      <c r="DJ627" s="1495"/>
      <c r="DK627" s="1495"/>
      <c r="DL627" s="1495"/>
      <c r="DM627" s="1495">
        <f t="shared" si="15"/>
        <v>0</v>
      </c>
      <c r="DN627" s="1495"/>
      <c r="DO627" s="1495"/>
      <c r="DP627" s="1495"/>
      <c r="DQ627" s="1495"/>
      <c r="DR627" s="1495">
        <f t="shared" si="16"/>
        <v>0</v>
      </c>
      <c r="DS627" s="1495"/>
      <c r="DT627" s="1495"/>
      <c r="DU627" s="1495"/>
      <c r="DV627" s="1495"/>
      <c r="DX627" s="1482" t="str">
        <f t="shared" si="17"/>
        <v/>
      </c>
      <c r="DY627" s="1483"/>
      <c r="DZ627" s="1483"/>
      <c r="EA627" s="1483"/>
      <c r="EB627" s="1484"/>
      <c r="EC627" s="1482" t="str">
        <f t="shared" si="18"/>
        <v/>
      </c>
      <c r="ED627" s="1483"/>
      <c r="EE627" s="1483"/>
      <c r="EF627" s="1483"/>
      <c r="EG627" s="1484"/>
      <c r="EH627" s="1482" t="str">
        <f t="shared" si="19"/>
        <v/>
      </c>
      <c r="EI627" s="1483"/>
      <c r="EJ627" s="1483"/>
      <c r="EK627" s="1483"/>
      <c r="EL627" s="1484"/>
      <c r="EM627" s="1482" t="str">
        <f t="shared" si="20"/>
        <v/>
      </c>
      <c r="EN627" s="1483"/>
      <c r="EO627" s="1483"/>
      <c r="EP627" s="1483"/>
      <c r="EQ627" s="1484"/>
      <c r="ER627" s="1482" t="str">
        <f t="shared" si="21"/>
        <v/>
      </c>
      <c r="ES627" s="1483"/>
      <c r="ET627" s="1483"/>
      <c r="EU627" s="1483"/>
      <c r="EV627" s="1484"/>
      <c r="EW627" s="1482" t="str">
        <f t="shared" si="22"/>
        <v/>
      </c>
      <c r="EX627" s="1483"/>
      <c r="EY627" s="1483"/>
      <c r="EZ627" s="1483"/>
      <c r="FA627" s="1484"/>
    </row>
    <row r="628" spans="2:157" ht="12.95" customHeight="1">
      <c r="B628" s="52" t="s">
        <v>113</v>
      </c>
      <c r="C628" s="1708" t="s">
        <v>2729</v>
      </c>
      <c r="D628" s="1708"/>
      <c r="E628" s="1708"/>
      <c r="F628" s="1708"/>
      <c r="G628" s="1708"/>
      <c r="H628" s="1708"/>
      <c r="I628" s="1708"/>
      <c r="J628" s="1708"/>
      <c r="K628" s="1708"/>
      <c r="L628" s="1708"/>
      <c r="M628" s="1449" t="s">
        <v>2427</v>
      </c>
      <c r="N628" s="1449"/>
      <c r="O628" s="1449"/>
      <c r="P628" s="1449"/>
      <c r="Q628" s="1458"/>
      <c r="R628" s="1459"/>
      <c r="S628" s="1460"/>
      <c r="T628" s="1458"/>
      <c r="U628" s="1459"/>
      <c r="V628" s="1460"/>
      <c r="W628" s="1455"/>
      <c r="X628" s="1456"/>
      <c r="Y628" s="1457"/>
      <c r="Z628" s="1496" t="s">
        <v>1291</v>
      </c>
      <c r="AA628" s="1497"/>
      <c r="AB628" s="1498"/>
      <c r="AC628" s="1452"/>
      <c r="AD628" s="1453"/>
      <c r="AE628" s="1454"/>
      <c r="AF628" s="1381"/>
      <c r="AG628" s="1382"/>
      <c r="AH628" s="1382"/>
      <c r="AI628" s="1382"/>
      <c r="AJ628" s="1383"/>
      <c r="AK628" s="1461"/>
      <c r="AL628" s="1462"/>
      <c r="AM628" s="1462"/>
      <c r="AN628" s="1463"/>
      <c r="AO628" s="1396">
        <v>416250</v>
      </c>
      <c r="AP628" s="1397"/>
      <c r="AQ628" s="1397"/>
      <c r="AR628" s="1397"/>
      <c r="AS628" s="1398"/>
      <c r="AT628" s="1192" t="str">
        <f>IF(AND(NOT(C627=""),C628="",NOT(C629="")),"!","")</f>
        <v/>
      </c>
      <c r="AU628" s="3"/>
      <c r="AZ628" s="3"/>
      <c r="BA628" s="3"/>
      <c r="BB628" s="3"/>
      <c r="BC628" s="3"/>
      <c r="BD628" s="3"/>
      <c r="BE628" s="1482">
        <f t="shared" si="1"/>
        <v>0</v>
      </c>
      <c r="BF628" s="1484"/>
      <c r="BG628" s="1492">
        <f t="shared" si="2"/>
        <v>0</v>
      </c>
      <c r="BH628" s="1494"/>
      <c r="BI628" s="1482">
        <f t="shared" si="3"/>
        <v>0</v>
      </c>
      <c r="BJ628" s="1484"/>
      <c r="BK628" s="1492">
        <f t="shared" si="4"/>
        <v>0</v>
      </c>
      <c r="BL628" s="1494"/>
      <c r="BM628" s="3"/>
      <c r="BN628" s="1486">
        <f t="shared" si="5"/>
        <v>0</v>
      </c>
      <c r="BO628" s="1487"/>
      <c r="BP628" s="1487"/>
      <c r="BQ628" s="1487"/>
      <c r="BR628" s="1488"/>
      <c r="BS628" s="1485">
        <f t="shared" si="6"/>
        <v>0</v>
      </c>
      <c r="BT628" s="1485"/>
      <c r="BU628" s="1485"/>
      <c r="BV628" s="1485"/>
      <c r="BW628" s="1485"/>
      <c r="BX628" s="1485">
        <f t="shared" si="7"/>
        <v>0</v>
      </c>
      <c r="BY628" s="1485"/>
      <c r="BZ628" s="1485"/>
      <c r="CA628" s="1485"/>
      <c r="CB628" s="1485"/>
      <c r="CC628" s="1485">
        <f t="shared" si="8"/>
        <v>0</v>
      </c>
      <c r="CD628" s="1485"/>
      <c r="CE628" s="1485"/>
      <c r="CF628" s="1485"/>
      <c r="CG628" s="1485"/>
      <c r="CH628" s="1485">
        <f t="shared" si="9"/>
        <v>0</v>
      </c>
      <c r="CI628" s="1485"/>
      <c r="CJ628" s="1485"/>
      <c r="CK628" s="1485"/>
      <c r="CL628" s="1485"/>
      <c r="CM628" s="1485">
        <f t="shared" si="10"/>
        <v>0</v>
      </c>
      <c r="CN628" s="1485"/>
      <c r="CO628" s="1485"/>
      <c r="CP628" s="1485"/>
      <c r="CQ628" s="1485"/>
      <c r="CR628" s="6"/>
      <c r="CS628" s="1495">
        <f t="shared" si="11"/>
        <v>0</v>
      </c>
      <c r="CT628" s="1495"/>
      <c r="CU628" s="1495"/>
      <c r="CV628" s="1495"/>
      <c r="CW628" s="1495"/>
      <c r="CX628" s="1495">
        <f t="shared" si="12"/>
        <v>0</v>
      </c>
      <c r="CY628" s="1495"/>
      <c r="CZ628" s="1495"/>
      <c r="DA628" s="1495"/>
      <c r="DB628" s="1495"/>
      <c r="DC628" s="1495">
        <f t="shared" si="13"/>
        <v>0</v>
      </c>
      <c r="DD628" s="1495"/>
      <c r="DE628" s="1495"/>
      <c r="DF628" s="1495"/>
      <c r="DG628" s="1495"/>
      <c r="DH628" s="1495">
        <f t="shared" si="14"/>
        <v>0</v>
      </c>
      <c r="DI628" s="1495"/>
      <c r="DJ628" s="1495"/>
      <c r="DK628" s="1495"/>
      <c r="DL628" s="1495"/>
      <c r="DM628" s="1495">
        <f t="shared" si="15"/>
        <v>0</v>
      </c>
      <c r="DN628" s="1495"/>
      <c r="DO628" s="1495"/>
      <c r="DP628" s="1495"/>
      <c r="DQ628" s="1495"/>
      <c r="DR628" s="1495">
        <f t="shared" si="16"/>
        <v>0</v>
      </c>
      <c r="DS628" s="1495"/>
      <c r="DT628" s="1495"/>
      <c r="DU628" s="1495"/>
      <c r="DV628" s="1495"/>
      <c r="DX628" s="1482" t="str">
        <f t="shared" si="17"/>
        <v/>
      </c>
      <c r="DY628" s="1483"/>
      <c r="DZ628" s="1483"/>
      <c r="EA628" s="1483"/>
      <c r="EB628" s="1484"/>
      <c r="EC628" s="1482" t="str">
        <f t="shared" si="18"/>
        <v/>
      </c>
      <c r="ED628" s="1483"/>
      <c r="EE628" s="1483"/>
      <c r="EF628" s="1483"/>
      <c r="EG628" s="1484"/>
      <c r="EH628" s="1482" t="str">
        <f t="shared" si="19"/>
        <v/>
      </c>
      <c r="EI628" s="1483"/>
      <c r="EJ628" s="1483"/>
      <c r="EK628" s="1483"/>
      <c r="EL628" s="1484"/>
      <c r="EM628" s="1482" t="str">
        <f t="shared" si="20"/>
        <v/>
      </c>
      <c r="EN628" s="1483"/>
      <c r="EO628" s="1483"/>
      <c r="EP628" s="1483"/>
      <c r="EQ628" s="1484"/>
      <c r="ER628" s="1482" t="str">
        <f t="shared" si="21"/>
        <v/>
      </c>
      <c r="ES628" s="1483"/>
      <c r="ET628" s="1483"/>
      <c r="EU628" s="1483"/>
      <c r="EV628" s="1484"/>
      <c r="EW628" s="1482" t="str">
        <f t="shared" si="22"/>
        <v/>
      </c>
      <c r="EX628" s="1483"/>
      <c r="EY628" s="1483"/>
      <c r="EZ628" s="1483"/>
      <c r="FA628" s="1484"/>
    </row>
    <row r="629" spans="2:157" ht="12.95" customHeight="1">
      <c r="B629" s="52" t="s">
        <v>119</v>
      </c>
      <c r="C629" s="1708" t="s">
        <v>2717</v>
      </c>
      <c r="D629" s="1708"/>
      <c r="E629" s="1708"/>
      <c r="F629" s="1708"/>
      <c r="G629" s="1708"/>
      <c r="H629" s="1708"/>
      <c r="I629" s="1708"/>
      <c r="J629" s="1708"/>
      <c r="K629" s="1708"/>
      <c r="L629" s="1708"/>
      <c r="M629" s="1449" t="s">
        <v>2422</v>
      </c>
      <c r="N629" s="1449"/>
      <c r="O629" s="1449"/>
      <c r="P629" s="1449"/>
      <c r="Q629" s="1458"/>
      <c r="R629" s="1459"/>
      <c r="S629" s="1460"/>
      <c r="T629" s="1458"/>
      <c r="U629" s="1459"/>
      <c r="V629" s="1460"/>
      <c r="W629" s="1455"/>
      <c r="X629" s="1456"/>
      <c r="Y629" s="1457"/>
      <c r="Z629" s="1496" t="s">
        <v>1291</v>
      </c>
      <c r="AA629" s="1497"/>
      <c r="AB629" s="1498"/>
      <c r="AC629" s="1452"/>
      <c r="AD629" s="1453"/>
      <c r="AE629" s="1454"/>
      <c r="AF629" s="1381"/>
      <c r="AG629" s="1382"/>
      <c r="AH629" s="1382"/>
      <c r="AI629" s="1382"/>
      <c r="AJ629" s="1383"/>
      <c r="AK629" s="1461"/>
      <c r="AL629" s="1462"/>
      <c r="AM629" s="1462"/>
      <c r="AN629" s="1463"/>
      <c r="AO629" s="1396">
        <v>11221735.58</v>
      </c>
      <c r="AP629" s="1397"/>
      <c r="AQ629" s="1397"/>
      <c r="AR629" s="1397"/>
      <c r="AS629" s="1398"/>
      <c r="AT629" s="1192" t="str">
        <f t="shared" ref="AT629:AT638" si="23">IF(AND(NOT(C628=""),C629="",NOT(C630="")),"!","")</f>
        <v/>
      </c>
      <c r="AU629" s="3"/>
      <c r="AZ629" s="3"/>
      <c r="BA629" s="3"/>
      <c r="BB629" s="3"/>
      <c r="BC629" s="3"/>
      <c r="BD629" s="3"/>
      <c r="BE629" s="1482">
        <f t="shared" si="1"/>
        <v>0</v>
      </c>
      <c r="BF629" s="1484"/>
      <c r="BG629" s="1492">
        <f t="shared" si="2"/>
        <v>0</v>
      </c>
      <c r="BH629" s="1494"/>
      <c r="BI629" s="1482">
        <f t="shared" si="3"/>
        <v>0</v>
      </c>
      <c r="BJ629" s="1484"/>
      <c r="BK629" s="1492">
        <f t="shared" si="4"/>
        <v>0</v>
      </c>
      <c r="BL629" s="1494"/>
      <c r="BM629" s="3"/>
      <c r="BN629" s="1486">
        <f t="shared" si="5"/>
        <v>0</v>
      </c>
      <c r="BO629" s="1487"/>
      <c r="BP629" s="1487"/>
      <c r="BQ629" s="1487"/>
      <c r="BR629" s="1488"/>
      <c r="BS629" s="1485">
        <f t="shared" si="6"/>
        <v>0</v>
      </c>
      <c r="BT629" s="1485"/>
      <c r="BU629" s="1485"/>
      <c r="BV629" s="1485"/>
      <c r="BW629" s="1485"/>
      <c r="BX629" s="1485">
        <f t="shared" si="7"/>
        <v>0</v>
      </c>
      <c r="BY629" s="1485"/>
      <c r="BZ629" s="1485"/>
      <c r="CA629" s="1485"/>
      <c r="CB629" s="1485"/>
      <c r="CC629" s="1485">
        <f t="shared" si="8"/>
        <v>0</v>
      </c>
      <c r="CD629" s="1485"/>
      <c r="CE629" s="1485"/>
      <c r="CF629" s="1485"/>
      <c r="CG629" s="1485"/>
      <c r="CH629" s="1485">
        <f t="shared" si="9"/>
        <v>0</v>
      </c>
      <c r="CI629" s="1485"/>
      <c r="CJ629" s="1485"/>
      <c r="CK629" s="1485"/>
      <c r="CL629" s="1485"/>
      <c r="CM629" s="1485">
        <f t="shared" si="10"/>
        <v>0</v>
      </c>
      <c r="CN629" s="1485"/>
      <c r="CO629" s="1485"/>
      <c r="CP629" s="1485"/>
      <c r="CQ629" s="1485"/>
      <c r="CR629" s="6"/>
      <c r="CS629" s="1495">
        <f t="shared" si="11"/>
        <v>0</v>
      </c>
      <c r="CT629" s="1495"/>
      <c r="CU629" s="1495"/>
      <c r="CV629" s="1495"/>
      <c r="CW629" s="1495"/>
      <c r="CX629" s="1495">
        <f t="shared" si="12"/>
        <v>0</v>
      </c>
      <c r="CY629" s="1495"/>
      <c r="CZ629" s="1495"/>
      <c r="DA629" s="1495"/>
      <c r="DB629" s="1495"/>
      <c r="DC629" s="1495">
        <f t="shared" si="13"/>
        <v>0</v>
      </c>
      <c r="DD629" s="1495"/>
      <c r="DE629" s="1495"/>
      <c r="DF629" s="1495"/>
      <c r="DG629" s="1495"/>
      <c r="DH629" s="1495">
        <f t="shared" si="14"/>
        <v>0</v>
      </c>
      <c r="DI629" s="1495"/>
      <c r="DJ629" s="1495"/>
      <c r="DK629" s="1495"/>
      <c r="DL629" s="1495"/>
      <c r="DM629" s="1495">
        <f t="shared" si="15"/>
        <v>0</v>
      </c>
      <c r="DN629" s="1495"/>
      <c r="DO629" s="1495"/>
      <c r="DP629" s="1495"/>
      <c r="DQ629" s="1495"/>
      <c r="DR629" s="1495">
        <f t="shared" si="16"/>
        <v>0</v>
      </c>
      <c r="DS629" s="1495"/>
      <c r="DT629" s="1495"/>
      <c r="DU629" s="1495"/>
      <c r="DV629" s="1495"/>
      <c r="DX629" s="1482" t="str">
        <f t="shared" si="17"/>
        <v/>
      </c>
      <c r="DY629" s="1483"/>
      <c r="DZ629" s="1483"/>
      <c r="EA629" s="1483"/>
      <c r="EB629" s="1484"/>
      <c r="EC629" s="1482" t="str">
        <f t="shared" si="18"/>
        <v/>
      </c>
      <c r="ED629" s="1483"/>
      <c r="EE629" s="1483"/>
      <c r="EF629" s="1483"/>
      <c r="EG629" s="1484"/>
      <c r="EH629" s="1482" t="str">
        <f t="shared" si="19"/>
        <v/>
      </c>
      <c r="EI629" s="1483"/>
      <c r="EJ629" s="1483"/>
      <c r="EK629" s="1483"/>
      <c r="EL629" s="1484"/>
      <c r="EM629" s="1482" t="str">
        <f t="shared" si="20"/>
        <v/>
      </c>
      <c r="EN629" s="1483"/>
      <c r="EO629" s="1483"/>
      <c r="EP629" s="1483"/>
      <c r="EQ629" s="1484"/>
      <c r="ER629" s="1482" t="str">
        <f t="shared" si="21"/>
        <v/>
      </c>
      <c r="ES629" s="1483"/>
      <c r="ET629" s="1483"/>
      <c r="EU629" s="1483"/>
      <c r="EV629" s="1484"/>
      <c r="EW629" s="1482" t="str">
        <f t="shared" si="22"/>
        <v/>
      </c>
      <c r="EX629" s="1483"/>
      <c r="EY629" s="1483"/>
      <c r="EZ629" s="1483"/>
      <c r="FA629" s="1484"/>
    </row>
    <row r="630" spans="2:157" ht="12.95" customHeight="1">
      <c r="B630" s="52" t="s">
        <v>590</v>
      </c>
      <c r="C630" s="1450"/>
      <c r="D630" s="1450"/>
      <c r="E630" s="1450"/>
      <c r="F630" s="1450"/>
      <c r="G630" s="1450"/>
      <c r="H630" s="1450"/>
      <c r="I630" s="1450"/>
      <c r="J630" s="1450"/>
      <c r="K630" s="1450"/>
      <c r="L630" s="1450"/>
      <c r="M630" s="1449" t="s">
        <v>1291</v>
      </c>
      <c r="N630" s="1449"/>
      <c r="O630" s="1449"/>
      <c r="P630" s="1449"/>
      <c r="Q630" s="1458"/>
      <c r="R630" s="1459"/>
      <c r="S630" s="1460"/>
      <c r="T630" s="1458"/>
      <c r="U630" s="1459"/>
      <c r="V630" s="1460"/>
      <c r="W630" s="1455"/>
      <c r="X630" s="1456"/>
      <c r="Y630" s="1457"/>
      <c r="Z630" s="1496" t="s">
        <v>1291</v>
      </c>
      <c r="AA630" s="1497"/>
      <c r="AB630" s="1498"/>
      <c r="AC630" s="1452"/>
      <c r="AD630" s="1453"/>
      <c r="AE630" s="1454"/>
      <c r="AF630" s="1381"/>
      <c r="AG630" s="1382"/>
      <c r="AH630" s="1382"/>
      <c r="AI630" s="1382"/>
      <c r="AJ630" s="1383"/>
      <c r="AK630" s="1461"/>
      <c r="AL630" s="1462"/>
      <c r="AM630" s="1462"/>
      <c r="AN630" s="1463"/>
      <c r="AO630" s="1396"/>
      <c r="AP630" s="1397"/>
      <c r="AQ630" s="1397"/>
      <c r="AR630" s="1397"/>
      <c r="AS630" s="1398"/>
      <c r="AT630" s="1192" t="str">
        <f t="shared" si="23"/>
        <v/>
      </c>
      <c r="AU630" s="3"/>
      <c r="AZ630" s="3"/>
      <c r="BA630" s="3"/>
      <c r="BB630" s="3"/>
      <c r="BC630" s="3"/>
      <c r="BD630" s="3"/>
      <c r="BE630" s="1482">
        <f t="shared" si="1"/>
        <v>0</v>
      </c>
      <c r="BF630" s="1484"/>
      <c r="BG630" s="1492">
        <f t="shared" si="2"/>
        <v>0</v>
      </c>
      <c r="BH630" s="1494"/>
      <c r="BI630" s="1482">
        <f t="shared" si="3"/>
        <v>0</v>
      </c>
      <c r="BJ630" s="1484"/>
      <c r="BK630" s="1492">
        <f t="shared" si="4"/>
        <v>0</v>
      </c>
      <c r="BL630" s="1494"/>
      <c r="BM630" s="3"/>
      <c r="BN630" s="1486">
        <f t="shared" si="5"/>
        <v>0</v>
      </c>
      <c r="BO630" s="1487"/>
      <c r="BP630" s="1487"/>
      <c r="BQ630" s="1487"/>
      <c r="BR630" s="1488"/>
      <c r="BS630" s="1485">
        <f t="shared" si="6"/>
        <v>0</v>
      </c>
      <c r="BT630" s="1485"/>
      <c r="BU630" s="1485"/>
      <c r="BV630" s="1485"/>
      <c r="BW630" s="1485"/>
      <c r="BX630" s="1485">
        <f t="shared" si="7"/>
        <v>0</v>
      </c>
      <c r="BY630" s="1485"/>
      <c r="BZ630" s="1485"/>
      <c r="CA630" s="1485"/>
      <c r="CB630" s="1485"/>
      <c r="CC630" s="1485">
        <f t="shared" si="8"/>
        <v>0</v>
      </c>
      <c r="CD630" s="1485"/>
      <c r="CE630" s="1485"/>
      <c r="CF630" s="1485"/>
      <c r="CG630" s="1485"/>
      <c r="CH630" s="1485">
        <f t="shared" si="9"/>
        <v>0</v>
      </c>
      <c r="CI630" s="1485"/>
      <c r="CJ630" s="1485"/>
      <c r="CK630" s="1485"/>
      <c r="CL630" s="1485"/>
      <c r="CM630" s="1485">
        <f t="shared" si="10"/>
        <v>0</v>
      </c>
      <c r="CN630" s="1485"/>
      <c r="CO630" s="1485"/>
      <c r="CP630" s="1485"/>
      <c r="CQ630" s="1485"/>
      <c r="CR630" s="6"/>
      <c r="CS630" s="1495">
        <f t="shared" si="11"/>
        <v>0</v>
      </c>
      <c r="CT630" s="1495"/>
      <c r="CU630" s="1495"/>
      <c r="CV630" s="1495"/>
      <c r="CW630" s="1495"/>
      <c r="CX630" s="1495">
        <f t="shared" si="12"/>
        <v>0</v>
      </c>
      <c r="CY630" s="1495"/>
      <c r="CZ630" s="1495"/>
      <c r="DA630" s="1495"/>
      <c r="DB630" s="1495"/>
      <c r="DC630" s="1495">
        <f t="shared" si="13"/>
        <v>0</v>
      </c>
      <c r="DD630" s="1495"/>
      <c r="DE630" s="1495"/>
      <c r="DF630" s="1495"/>
      <c r="DG630" s="1495"/>
      <c r="DH630" s="1495">
        <f t="shared" si="14"/>
        <v>0</v>
      </c>
      <c r="DI630" s="1495"/>
      <c r="DJ630" s="1495"/>
      <c r="DK630" s="1495"/>
      <c r="DL630" s="1495"/>
      <c r="DM630" s="1495">
        <f t="shared" si="15"/>
        <v>0</v>
      </c>
      <c r="DN630" s="1495"/>
      <c r="DO630" s="1495"/>
      <c r="DP630" s="1495"/>
      <c r="DQ630" s="1495"/>
      <c r="DR630" s="1495">
        <f t="shared" si="16"/>
        <v>0</v>
      </c>
      <c r="DS630" s="1495"/>
      <c r="DT630" s="1495"/>
      <c r="DU630" s="1495"/>
      <c r="DV630" s="1495"/>
      <c r="DX630" s="1482" t="str">
        <f t="shared" si="17"/>
        <v/>
      </c>
      <c r="DY630" s="1483"/>
      <c r="DZ630" s="1483"/>
      <c r="EA630" s="1483"/>
      <c r="EB630" s="1484"/>
      <c r="EC630" s="1482" t="str">
        <f t="shared" si="18"/>
        <v/>
      </c>
      <c r="ED630" s="1483"/>
      <c r="EE630" s="1483"/>
      <c r="EF630" s="1483"/>
      <c r="EG630" s="1484"/>
      <c r="EH630" s="1482" t="str">
        <f t="shared" si="19"/>
        <v/>
      </c>
      <c r="EI630" s="1483"/>
      <c r="EJ630" s="1483"/>
      <c r="EK630" s="1483"/>
      <c r="EL630" s="1484"/>
      <c r="EM630" s="1482" t="str">
        <f t="shared" si="20"/>
        <v/>
      </c>
      <c r="EN630" s="1483"/>
      <c r="EO630" s="1483"/>
      <c r="EP630" s="1483"/>
      <c r="EQ630" s="1484"/>
      <c r="ER630" s="1482" t="str">
        <f t="shared" si="21"/>
        <v/>
      </c>
      <c r="ES630" s="1483"/>
      <c r="ET630" s="1483"/>
      <c r="EU630" s="1483"/>
      <c r="EV630" s="1484"/>
      <c r="EW630" s="1482" t="str">
        <f t="shared" si="22"/>
        <v/>
      </c>
      <c r="EX630" s="1483"/>
      <c r="EY630" s="1483"/>
      <c r="EZ630" s="1483"/>
      <c r="FA630" s="1484"/>
    </row>
    <row r="631" spans="2:157" ht="12.95" customHeight="1">
      <c r="B631" s="52" t="s">
        <v>773</v>
      </c>
      <c r="C631" s="1450"/>
      <c r="D631" s="1450"/>
      <c r="E631" s="1450"/>
      <c r="F631" s="1450"/>
      <c r="G631" s="1450"/>
      <c r="H631" s="1450"/>
      <c r="I631" s="1450"/>
      <c r="J631" s="1450"/>
      <c r="K631" s="1450"/>
      <c r="L631" s="1450"/>
      <c r="M631" s="1449" t="s">
        <v>1291</v>
      </c>
      <c r="N631" s="1449"/>
      <c r="O631" s="1449"/>
      <c r="P631" s="1449"/>
      <c r="Q631" s="1458"/>
      <c r="R631" s="1459"/>
      <c r="S631" s="1460"/>
      <c r="T631" s="1458"/>
      <c r="U631" s="1459"/>
      <c r="V631" s="1460"/>
      <c r="W631" s="1455"/>
      <c r="X631" s="1456"/>
      <c r="Y631" s="1457"/>
      <c r="Z631" s="1496" t="s">
        <v>1291</v>
      </c>
      <c r="AA631" s="1497"/>
      <c r="AB631" s="1498"/>
      <c r="AC631" s="1452"/>
      <c r="AD631" s="1453"/>
      <c r="AE631" s="1454"/>
      <c r="AF631" s="1381"/>
      <c r="AG631" s="1382"/>
      <c r="AH631" s="1382"/>
      <c r="AI631" s="1382"/>
      <c r="AJ631" s="1383"/>
      <c r="AK631" s="1461"/>
      <c r="AL631" s="1462"/>
      <c r="AM631" s="1462"/>
      <c r="AN631" s="1463"/>
      <c r="AO631" s="1396"/>
      <c r="AP631" s="1397"/>
      <c r="AQ631" s="1397"/>
      <c r="AR631" s="1397"/>
      <c r="AS631" s="1398"/>
      <c r="AT631" s="1192" t="str">
        <f t="shared" si="23"/>
        <v/>
      </c>
      <c r="AU631" s="3"/>
      <c r="AZ631" s="3"/>
      <c r="BA631" s="3"/>
      <c r="BB631" s="3"/>
      <c r="BC631" s="3"/>
      <c r="BD631" s="3"/>
      <c r="BE631" s="1482">
        <f t="shared" si="1"/>
        <v>0</v>
      </c>
      <c r="BF631" s="1484"/>
      <c r="BG631" s="1492">
        <f t="shared" si="2"/>
        <v>0</v>
      </c>
      <c r="BH631" s="1494"/>
      <c r="BI631" s="1482">
        <f t="shared" si="3"/>
        <v>0</v>
      </c>
      <c r="BJ631" s="1484"/>
      <c r="BK631" s="1492">
        <f t="shared" si="4"/>
        <v>0</v>
      </c>
      <c r="BL631" s="1494"/>
      <c r="BM631" s="3"/>
      <c r="BN631" s="1486">
        <f t="shared" si="5"/>
        <v>0</v>
      </c>
      <c r="BO631" s="1487"/>
      <c r="BP631" s="1487"/>
      <c r="BQ631" s="1487"/>
      <c r="BR631" s="1488"/>
      <c r="BS631" s="1485">
        <f t="shared" si="6"/>
        <v>0</v>
      </c>
      <c r="BT631" s="1485"/>
      <c r="BU631" s="1485"/>
      <c r="BV631" s="1485"/>
      <c r="BW631" s="1485"/>
      <c r="BX631" s="1485">
        <f t="shared" si="7"/>
        <v>0</v>
      </c>
      <c r="BY631" s="1485"/>
      <c r="BZ631" s="1485"/>
      <c r="CA631" s="1485"/>
      <c r="CB631" s="1485"/>
      <c r="CC631" s="1485">
        <f t="shared" si="8"/>
        <v>0</v>
      </c>
      <c r="CD631" s="1485"/>
      <c r="CE631" s="1485"/>
      <c r="CF631" s="1485"/>
      <c r="CG631" s="1485"/>
      <c r="CH631" s="1485">
        <f t="shared" si="9"/>
        <v>0</v>
      </c>
      <c r="CI631" s="1485"/>
      <c r="CJ631" s="1485"/>
      <c r="CK631" s="1485"/>
      <c r="CL631" s="1485"/>
      <c r="CM631" s="1485">
        <f t="shared" si="10"/>
        <v>0</v>
      </c>
      <c r="CN631" s="1485"/>
      <c r="CO631" s="1485"/>
      <c r="CP631" s="1485"/>
      <c r="CQ631" s="1485"/>
      <c r="CR631" s="6"/>
      <c r="CS631" s="1495">
        <f t="shared" si="11"/>
        <v>0</v>
      </c>
      <c r="CT631" s="1495"/>
      <c r="CU631" s="1495"/>
      <c r="CV631" s="1495"/>
      <c r="CW631" s="1495"/>
      <c r="CX631" s="1495">
        <f t="shared" si="12"/>
        <v>0</v>
      </c>
      <c r="CY631" s="1495"/>
      <c r="CZ631" s="1495"/>
      <c r="DA631" s="1495"/>
      <c r="DB631" s="1495"/>
      <c r="DC631" s="1495">
        <f t="shared" si="13"/>
        <v>0</v>
      </c>
      <c r="DD631" s="1495"/>
      <c r="DE631" s="1495"/>
      <c r="DF631" s="1495"/>
      <c r="DG631" s="1495"/>
      <c r="DH631" s="1495">
        <f t="shared" si="14"/>
        <v>0</v>
      </c>
      <c r="DI631" s="1495"/>
      <c r="DJ631" s="1495"/>
      <c r="DK631" s="1495"/>
      <c r="DL631" s="1495"/>
      <c r="DM631" s="1495">
        <f t="shared" si="15"/>
        <v>0</v>
      </c>
      <c r="DN631" s="1495"/>
      <c r="DO631" s="1495"/>
      <c r="DP631" s="1495"/>
      <c r="DQ631" s="1495"/>
      <c r="DR631" s="1495">
        <f t="shared" si="16"/>
        <v>0</v>
      </c>
      <c r="DS631" s="1495"/>
      <c r="DT631" s="1495"/>
      <c r="DU631" s="1495"/>
      <c r="DV631" s="1495"/>
      <c r="DX631" s="1482" t="str">
        <f t="shared" si="17"/>
        <v/>
      </c>
      <c r="DY631" s="1483"/>
      <c r="DZ631" s="1483"/>
      <c r="EA631" s="1483"/>
      <c r="EB631" s="1484"/>
      <c r="EC631" s="1482" t="str">
        <f t="shared" si="18"/>
        <v/>
      </c>
      <c r="ED631" s="1483"/>
      <c r="EE631" s="1483"/>
      <c r="EF631" s="1483"/>
      <c r="EG631" s="1484"/>
      <c r="EH631" s="1482" t="str">
        <f t="shared" si="19"/>
        <v/>
      </c>
      <c r="EI631" s="1483"/>
      <c r="EJ631" s="1483"/>
      <c r="EK631" s="1483"/>
      <c r="EL631" s="1484"/>
      <c r="EM631" s="1482" t="str">
        <f t="shared" si="20"/>
        <v/>
      </c>
      <c r="EN631" s="1483"/>
      <c r="EO631" s="1483"/>
      <c r="EP631" s="1483"/>
      <c r="EQ631" s="1484"/>
      <c r="ER631" s="1482" t="str">
        <f t="shared" si="21"/>
        <v/>
      </c>
      <c r="ES631" s="1483"/>
      <c r="ET631" s="1483"/>
      <c r="EU631" s="1483"/>
      <c r="EV631" s="1484"/>
      <c r="EW631" s="1482" t="str">
        <f t="shared" si="22"/>
        <v/>
      </c>
      <c r="EX631" s="1483"/>
      <c r="EY631" s="1483"/>
      <c r="EZ631" s="1483"/>
      <c r="FA631" s="1484"/>
    </row>
    <row r="632" spans="2:157" ht="12.95" customHeight="1">
      <c r="B632" s="52" t="s">
        <v>593</v>
      </c>
      <c r="C632" s="1450"/>
      <c r="D632" s="1450"/>
      <c r="E632" s="1450"/>
      <c r="F632" s="1450"/>
      <c r="G632" s="1450"/>
      <c r="H632" s="1450"/>
      <c r="I632" s="1450"/>
      <c r="J632" s="1450"/>
      <c r="K632" s="1450"/>
      <c r="L632" s="1450"/>
      <c r="M632" s="1449" t="s">
        <v>1291</v>
      </c>
      <c r="N632" s="1449"/>
      <c r="O632" s="1449"/>
      <c r="P632" s="1449"/>
      <c r="Q632" s="1458"/>
      <c r="R632" s="1459"/>
      <c r="S632" s="1460"/>
      <c r="T632" s="1458"/>
      <c r="U632" s="1459"/>
      <c r="V632" s="1460"/>
      <c r="W632" s="1455"/>
      <c r="X632" s="1456"/>
      <c r="Y632" s="1457"/>
      <c r="Z632" s="1496" t="s">
        <v>1291</v>
      </c>
      <c r="AA632" s="1497"/>
      <c r="AB632" s="1498"/>
      <c r="AC632" s="1452"/>
      <c r="AD632" s="1453"/>
      <c r="AE632" s="1454"/>
      <c r="AF632" s="1381"/>
      <c r="AG632" s="1382"/>
      <c r="AH632" s="1382"/>
      <c r="AI632" s="1382"/>
      <c r="AJ632" s="1383"/>
      <c r="AK632" s="1461"/>
      <c r="AL632" s="1462"/>
      <c r="AM632" s="1462"/>
      <c r="AN632" s="1463"/>
      <c r="AO632" s="1396"/>
      <c r="AP632" s="1397"/>
      <c r="AQ632" s="1397"/>
      <c r="AR632" s="1397"/>
      <c r="AS632" s="1398"/>
      <c r="AT632" s="1192" t="str">
        <f t="shared" si="23"/>
        <v/>
      </c>
      <c r="AU632" s="3"/>
      <c r="AZ632" s="3"/>
      <c r="BA632" s="3"/>
      <c r="BB632" s="3"/>
      <c r="BC632" s="3"/>
      <c r="BD632" s="3"/>
      <c r="BE632" s="3"/>
      <c r="BF632" s="3"/>
      <c r="BG632" s="1482">
        <f>SUM(BG597:BH631)</f>
        <v>95</v>
      </c>
      <c r="BH632" s="1484"/>
      <c r="BI632" s="3"/>
      <c r="BJ632" s="3"/>
      <c r="BK632" s="1482">
        <f>SUM(BK597:BL631)</f>
        <v>18</v>
      </c>
      <c r="BL632" s="1484"/>
      <c r="BM632" s="3"/>
      <c r="BN632" s="1482">
        <f>SUM(BN597:BR631)</f>
        <v>0</v>
      </c>
      <c r="BO632" s="1483"/>
      <c r="BP632" s="1483"/>
      <c r="BQ632" s="1483"/>
      <c r="BR632" s="1484"/>
      <c r="BS632" s="1491">
        <f>SUM(BS597:BW631)</f>
        <v>78</v>
      </c>
      <c r="BT632" s="1491"/>
      <c r="BU632" s="1491"/>
      <c r="BV632" s="1491"/>
      <c r="BW632" s="1491"/>
      <c r="BX632" s="1491">
        <f>SUM(BX597:CB631)</f>
        <v>48</v>
      </c>
      <c r="BY632" s="1491"/>
      <c r="BZ632" s="1491"/>
      <c r="CA632" s="1491"/>
      <c r="CB632" s="1491"/>
      <c r="CC632" s="1491">
        <f>SUM(CC597:CG631)</f>
        <v>36</v>
      </c>
      <c r="CD632" s="1491"/>
      <c r="CE632" s="1491"/>
      <c r="CF632" s="1491"/>
      <c r="CG632" s="1491"/>
      <c r="CH632" s="1491">
        <f>SUM(CH597:CL631)</f>
        <v>8</v>
      </c>
      <c r="CI632" s="1491"/>
      <c r="CJ632" s="1491"/>
      <c r="CK632" s="1491"/>
      <c r="CL632" s="1491"/>
      <c r="CM632" s="1491">
        <f>SUM(CM597:CQ631)</f>
        <v>0</v>
      </c>
      <c r="CN632" s="1491"/>
      <c r="CO632" s="1491"/>
      <c r="CP632" s="1491"/>
      <c r="CQ632" s="1491"/>
      <c r="CR632" s="385"/>
      <c r="CS632" s="1491">
        <f>SUM(CS597:CW631)</f>
        <v>0</v>
      </c>
      <c r="CT632" s="1491"/>
      <c r="CU632" s="1491"/>
      <c r="CV632" s="1491"/>
      <c r="CW632" s="1491"/>
      <c r="CX632" s="1491">
        <f>SUM(CX597:DB631)</f>
        <v>7</v>
      </c>
      <c r="CY632" s="1491"/>
      <c r="CZ632" s="1491"/>
      <c r="DA632" s="1491"/>
      <c r="DB632" s="1491"/>
      <c r="DC632" s="1491">
        <f>SUM(DC597:DG631)</f>
        <v>5</v>
      </c>
      <c r="DD632" s="1491"/>
      <c r="DE632" s="1491"/>
      <c r="DF632" s="1491"/>
      <c r="DG632" s="1491"/>
      <c r="DH632" s="1491">
        <f>SUM(DH597:DL631)</f>
        <v>4</v>
      </c>
      <c r="DI632" s="1491"/>
      <c r="DJ632" s="1491"/>
      <c r="DK632" s="1491"/>
      <c r="DL632" s="1491"/>
      <c r="DM632" s="1491">
        <f>SUM(DM597:DQ631)</f>
        <v>2</v>
      </c>
      <c r="DN632" s="1491"/>
      <c r="DO632" s="1491"/>
      <c r="DP632" s="1491"/>
      <c r="DQ632" s="1491"/>
      <c r="DR632" s="1491">
        <f>SUM(DR597:DV631)</f>
        <v>0</v>
      </c>
      <c r="DS632" s="1491"/>
      <c r="DT632" s="1491"/>
      <c r="DU632" s="1491"/>
      <c r="DV632" s="1491"/>
      <c r="DX632" s="1491">
        <f>SUM(DX597:EB631)</f>
        <v>0</v>
      </c>
      <c r="DY632" s="1491"/>
      <c r="DZ632" s="1491"/>
      <c r="EA632" s="1491"/>
      <c r="EB632" s="1491"/>
      <c r="EC632" s="1491">
        <f>SUM(EC597:EG631)</f>
        <v>5502</v>
      </c>
      <c r="ED632" s="1491"/>
      <c r="EE632" s="1491"/>
      <c r="EF632" s="1491"/>
      <c r="EG632" s="1491"/>
      <c r="EH632" s="1491">
        <f>SUM(EH597:EL631)</f>
        <v>5744</v>
      </c>
      <c r="EI632" s="1491"/>
      <c r="EJ632" s="1491"/>
      <c r="EK632" s="1491"/>
      <c r="EL632" s="1491"/>
      <c r="EM632" s="1491">
        <f>SUM(EM597:EQ631)</f>
        <v>5472</v>
      </c>
      <c r="EN632" s="1491"/>
      <c r="EO632" s="1491"/>
      <c r="EP632" s="1491"/>
      <c r="EQ632" s="1491"/>
      <c r="ER632" s="1491">
        <f>SUM(ER597:EV631)</f>
        <v>2810</v>
      </c>
      <c r="ES632" s="1491"/>
      <c r="ET632" s="1491"/>
      <c r="EU632" s="1491"/>
      <c r="EV632" s="1491"/>
      <c r="EW632" s="1491">
        <f>SUM(EW597:FA631)</f>
        <v>0</v>
      </c>
      <c r="EX632" s="1491"/>
      <c r="EY632" s="1491"/>
      <c r="EZ632" s="1491"/>
      <c r="FA632" s="1491"/>
    </row>
    <row r="633" spans="2:157" ht="12.95" customHeight="1">
      <c r="B633" s="52" t="s">
        <v>464</v>
      </c>
      <c r="C633" s="1450"/>
      <c r="D633" s="1450"/>
      <c r="E633" s="1450"/>
      <c r="F633" s="1450"/>
      <c r="G633" s="1450"/>
      <c r="H633" s="1450"/>
      <c r="I633" s="1450"/>
      <c r="J633" s="1450"/>
      <c r="K633" s="1450"/>
      <c r="L633" s="1450"/>
      <c r="M633" s="1449" t="s">
        <v>1291</v>
      </c>
      <c r="N633" s="1449"/>
      <c r="O633" s="1449"/>
      <c r="P633" s="1449"/>
      <c r="Q633" s="1458"/>
      <c r="R633" s="1459"/>
      <c r="S633" s="1460"/>
      <c r="T633" s="1458"/>
      <c r="U633" s="1459"/>
      <c r="V633" s="1460"/>
      <c r="W633" s="1455"/>
      <c r="X633" s="1456"/>
      <c r="Y633" s="1457"/>
      <c r="Z633" s="1496" t="s">
        <v>1291</v>
      </c>
      <c r="AA633" s="1497"/>
      <c r="AB633" s="1498"/>
      <c r="AC633" s="1452"/>
      <c r="AD633" s="1453"/>
      <c r="AE633" s="1454"/>
      <c r="AF633" s="1381"/>
      <c r="AG633" s="1382"/>
      <c r="AH633" s="1382"/>
      <c r="AI633" s="1382"/>
      <c r="AJ633" s="1383"/>
      <c r="AK633" s="1461"/>
      <c r="AL633" s="1462"/>
      <c r="AM633" s="1462"/>
      <c r="AN633" s="1463"/>
      <c r="AO633" s="1396"/>
      <c r="AP633" s="1397"/>
      <c r="AQ633" s="1397"/>
      <c r="AR633" s="1397"/>
      <c r="AS633" s="139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82">
        <f>BN632+BS632+BX632+CC632+CH632+CM632</f>
        <v>170</v>
      </c>
      <c r="CN633" s="1483"/>
      <c r="CO633" s="1483"/>
      <c r="CP633" s="1483"/>
      <c r="CQ633" s="1484"/>
      <c r="CR633" s="385"/>
      <c r="CS633" s="3"/>
      <c r="CT633" s="3"/>
      <c r="CU633" s="3"/>
      <c r="CV633" s="3"/>
      <c r="CW633" s="3"/>
      <c r="CX633" s="3"/>
      <c r="CY633" s="3"/>
      <c r="CZ633" s="3"/>
      <c r="DA633" s="3"/>
      <c r="DB633" s="3"/>
      <c r="DC633" s="3"/>
      <c r="DD633" s="3"/>
      <c r="DE633" s="3"/>
      <c r="DF633" s="3"/>
    </row>
    <row r="634" spans="2:157" ht="12.95" customHeight="1">
      <c r="B634" s="52" t="s">
        <v>465</v>
      </c>
      <c r="C634" s="1450"/>
      <c r="D634" s="1450"/>
      <c r="E634" s="1450"/>
      <c r="F634" s="1450"/>
      <c r="G634" s="1450"/>
      <c r="H634" s="1450"/>
      <c r="I634" s="1450"/>
      <c r="J634" s="1450"/>
      <c r="K634" s="1450"/>
      <c r="L634" s="1450"/>
      <c r="M634" s="1449" t="s">
        <v>1291</v>
      </c>
      <c r="N634" s="1449"/>
      <c r="O634" s="1449"/>
      <c r="P634" s="1449"/>
      <c r="Q634" s="1458"/>
      <c r="R634" s="1459"/>
      <c r="S634" s="1460"/>
      <c r="T634" s="1458"/>
      <c r="U634" s="1459"/>
      <c r="V634" s="1460"/>
      <c r="W634" s="1455"/>
      <c r="X634" s="1456"/>
      <c r="Y634" s="1457"/>
      <c r="Z634" s="1496" t="s">
        <v>1291</v>
      </c>
      <c r="AA634" s="1497"/>
      <c r="AB634" s="1498"/>
      <c r="AC634" s="1452"/>
      <c r="AD634" s="1453"/>
      <c r="AE634" s="1454"/>
      <c r="AF634" s="1381"/>
      <c r="AG634" s="1382"/>
      <c r="AH634" s="1382"/>
      <c r="AI634" s="1382"/>
      <c r="AJ634" s="1383"/>
      <c r="AK634" s="1461"/>
      <c r="AL634" s="1462"/>
      <c r="AM634" s="1462"/>
      <c r="AN634" s="1463"/>
      <c r="AO634" s="1396"/>
      <c r="AP634" s="1397"/>
      <c r="AQ634" s="1397"/>
      <c r="AR634" s="1397"/>
      <c r="AS634" s="139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78</v>
      </c>
      <c r="BX634" s="3"/>
      <c r="BY634" s="3"/>
      <c r="BZ634" s="3"/>
      <c r="CA634" s="3"/>
      <c r="CB634" s="895">
        <f>BX632*2</f>
        <v>96</v>
      </c>
      <c r="CC634" s="3"/>
      <c r="CD634" s="3"/>
      <c r="CE634" s="3"/>
      <c r="CF634" s="3"/>
      <c r="CG634" s="895">
        <f>CC632*3</f>
        <v>108</v>
      </c>
      <c r="CH634" s="3"/>
      <c r="CI634" s="3"/>
      <c r="CJ634" s="3"/>
      <c r="CK634" s="3"/>
      <c r="CL634" s="895">
        <f>CH632*4</f>
        <v>32</v>
      </c>
      <c r="CM634" s="3"/>
      <c r="CN634" s="3"/>
      <c r="CO634" s="3"/>
      <c r="CP634" s="3"/>
      <c r="CQ634" s="895">
        <f>CM632*5</f>
        <v>0</v>
      </c>
      <c r="CS634" s="895">
        <f>BR634+BW634+CB634+CG634+CL634+CQ634</f>
        <v>314</v>
      </c>
      <c r="CT634" s="57" t="s">
        <v>2055</v>
      </c>
      <c r="CU634" s="3"/>
      <c r="CV634" s="3"/>
      <c r="CW634" s="3"/>
      <c r="CX634" s="3"/>
      <c r="CY634" s="3"/>
      <c r="CZ634" s="3"/>
      <c r="DA634" s="3"/>
      <c r="DB634" s="3"/>
      <c r="DC634" s="3"/>
      <c r="DD634" s="3"/>
      <c r="DE634" s="3"/>
      <c r="DF634" s="3"/>
    </row>
    <row r="635" spans="2:157" ht="12.95" customHeight="1">
      <c r="B635" s="52" t="s">
        <v>470</v>
      </c>
      <c r="C635" s="1450"/>
      <c r="D635" s="1450"/>
      <c r="E635" s="1450"/>
      <c r="F635" s="1450"/>
      <c r="G635" s="1450"/>
      <c r="H635" s="1450"/>
      <c r="I635" s="1450"/>
      <c r="J635" s="1450"/>
      <c r="K635" s="1450"/>
      <c r="L635" s="1450"/>
      <c r="M635" s="1449" t="s">
        <v>1291</v>
      </c>
      <c r="N635" s="1449"/>
      <c r="O635" s="1449"/>
      <c r="P635" s="1449"/>
      <c r="Q635" s="1458"/>
      <c r="R635" s="1459"/>
      <c r="S635" s="1460"/>
      <c r="T635" s="1458"/>
      <c r="U635" s="1459"/>
      <c r="V635" s="1460"/>
      <c r="W635" s="1455"/>
      <c r="X635" s="1456"/>
      <c r="Y635" s="1457"/>
      <c r="Z635" s="1496" t="s">
        <v>1291</v>
      </c>
      <c r="AA635" s="1497"/>
      <c r="AB635" s="1498"/>
      <c r="AC635" s="1452"/>
      <c r="AD635" s="1453"/>
      <c r="AE635" s="1454"/>
      <c r="AF635" s="1381"/>
      <c r="AG635" s="1382"/>
      <c r="AH635" s="1382"/>
      <c r="AI635" s="1382"/>
      <c r="AJ635" s="1383"/>
      <c r="AK635" s="1461"/>
      <c r="AL635" s="1462"/>
      <c r="AM635" s="1462"/>
      <c r="AN635" s="1463"/>
      <c r="AO635" s="1396"/>
      <c r="AP635" s="1397"/>
      <c r="AQ635" s="1397"/>
      <c r="AR635" s="1397"/>
      <c r="AS635" s="139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6" t="e">
        <f>DX597*(BN597/$BN$632)</f>
        <v>#VALUE!</v>
      </c>
      <c r="DY635" s="1476"/>
      <c r="DZ635" s="1476"/>
      <c r="EA635" s="1476"/>
      <c r="EB635" s="1476"/>
      <c r="EC635" s="1476">
        <f t="shared" ref="EC635:EC657" si="24">EC597*(BS597/$BS$632)</f>
        <v>41.371794871794869</v>
      </c>
      <c r="ED635" s="1476"/>
      <c r="EE635" s="1476"/>
      <c r="EF635" s="1476"/>
      <c r="EG635" s="1476"/>
      <c r="EH635" s="1476" t="e">
        <f t="shared" ref="EH635:EH657" si="25">EH597*(BX597/$BX$632)</f>
        <v>#VALUE!</v>
      </c>
      <c r="EI635" s="1476"/>
      <c r="EJ635" s="1476"/>
      <c r="EK635" s="1476"/>
      <c r="EL635" s="1476"/>
      <c r="EM635" s="1476" t="e">
        <f t="shared" ref="EM635:EM657" si="26">EM597*(CC597/$CC$632)</f>
        <v>#VALUE!</v>
      </c>
      <c r="EN635" s="1476"/>
      <c r="EO635" s="1476"/>
      <c r="EP635" s="1476"/>
      <c r="EQ635" s="1476"/>
      <c r="ER635" s="1476" t="e">
        <f t="shared" ref="ER635:ER657" si="27">ER597*(CH597/$CH$632)</f>
        <v>#VALUE!</v>
      </c>
      <c r="ES635" s="1476"/>
      <c r="ET635" s="1476"/>
      <c r="EU635" s="1476"/>
      <c r="EV635" s="1476"/>
      <c r="EW635" s="1476" t="e">
        <f t="shared" ref="EW635:EW657" si="28">EW597*(CM597/$CM$632)</f>
        <v>#VALUE!</v>
      </c>
      <c r="EX635" s="1476"/>
      <c r="EY635" s="1476"/>
      <c r="EZ635" s="1476"/>
      <c r="FA635" s="1476"/>
    </row>
    <row r="636" spans="2:157" ht="12.95" customHeight="1">
      <c r="B636" s="52" t="s">
        <v>655</v>
      </c>
      <c r="C636" s="1450"/>
      <c r="D636" s="1450"/>
      <c r="E636" s="1450"/>
      <c r="F636" s="1450"/>
      <c r="G636" s="1450"/>
      <c r="H636" s="1450"/>
      <c r="I636" s="1450"/>
      <c r="J636" s="1450"/>
      <c r="K636" s="1450"/>
      <c r="L636" s="1450"/>
      <c r="M636" s="1449" t="s">
        <v>1291</v>
      </c>
      <c r="N636" s="1449"/>
      <c r="O636" s="1449"/>
      <c r="P636" s="1449"/>
      <c r="Q636" s="1458"/>
      <c r="R636" s="1459"/>
      <c r="S636" s="1460"/>
      <c r="T636" s="1458"/>
      <c r="U636" s="1459"/>
      <c r="V636" s="1460"/>
      <c r="W636" s="1455"/>
      <c r="X636" s="1456"/>
      <c r="Y636" s="1457"/>
      <c r="Z636" s="1496" t="s">
        <v>1291</v>
      </c>
      <c r="AA636" s="1497"/>
      <c r="AB636" s="1498"/>
      <c r="AC636" s="1452"/>
      <c r="AD636" s="1453"/>
      <c r="AE636" s="1454"/>
      <c r="AF636" s="1381"/>
      <c r="AG636" s="1382"/>
      <c r="AH636" s="1382"/>
      <c r="AI636" s="1382"/>
      <c r="AJ636" s="1383"/>
      <c r="AK636" s="1461"/>
      <c r="AL636" s="1462"/>
      <c r="AM636" s="1462"/>
      <c r="AN636" s="1463"/>
      <c r="AO636" s="1396"/>
      <c r="AP636" s="1397"/>
      <c r="AQ636" s="1397"/>
      <c r="AR636" s="1397"/>
      <c r="AS636" s="139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6" t="e">
        <f t="shared" ref="DX636:DX657" si="29">DX598*(BN598/$BN$632)</f>
        <v>#VALUE!</v>
      </c>
      <c r="DY636" s="1476"/>
      <c r="DZ636" s="1476"/>
      <c r="EA636" s="1476"/>
      <c r="EB636" s="1476"/>
      <c r="EC636" s="1476" t="e">
        <f t="shared" si="24"/>
        <v>#VALUE!</v>
      </c>
      <c r="ED636" s="1476"/>
      <c r="EE636" s="1476"/>
      <c r="EF636" s="1476"/>
      <c r="EG636" s="1476"/>
      <c r="EH636" s="1476">
        <f t="shared" si="25"/>
        <v>56.041666666666671</v>
      </c>
      <c r="EI636" s="1476"/>
      <c r="EJ636" s="1476"/>
      <c r="EK636" s="1476"/>
      <c r="EL636" s="1476"/>
      <c r="EM636" s="1476" t="e">
        <f t="shared" si="26"/>
        <v>#VALUE!</v>
      </c>
      <c r="EN636" s="1476"/>
      <c r="EO636" s="1476"/>
      <c r="EP636" s="1476"/>
      <c r="EQ636" s="1476"/>
      <c r="ER636" s="1476" t="e">
        <f t="shared" si="27"/>
        <v>#VALUE!</v>
      </c>
      <c r="ES636" s="1476"/>
      <c r="ET636" s="1476"/>
      <c r="EU636" s="1476"/>
      <c r="EV636" s="1476"/>
      <c r="EW636" s="1476" t="e">
        <f t="shared" si="28"/>
        <v>#VALUE!</v>
      </c>
      <c r="EX636" s="1476"/>
      <c r="EY636" s="1476"/>
      <c r="EZ636" s="1476"/>
      <c r="FA636" s="1476"/>
    </row>
    <row r="637" spans="2:157" ht="12.95" customHeight="1">
      <c r="B637" s="52" t="s">
        <v>363</v>
      </c>
      <c r="C637" s="1450"/>
      <c r="D637" s="1450"/>
      <c r="E637" s="1450"/>
      <c r="F637" s="1450"/>
      <c r="G637" s="1450"/>
      <c r="H637" s="1450"/>
      <c r="I637" s="1450"/>
      <c r="J637" s="1450"/>
      <c r="K637" s="1450"/>
      <c r="L637" s="1450"/>
      <c r="M637" s="1449" t="s">
        <v>1291</v>
      </c>
      <c r="N637" s="1449"/>
      <c r="O637" s="1449"/>
      <c r="P637" s="1449"/>
      <c r="Q637" s="1458"/>
      <c r="R637" s="1459"/>
      <c r="S637" s="1460"/>
      <c r="T637" s="1458"/>
      <c r="U637" s="1459"/>
      <c r="V637" s="1460"/>
      <c r="W637" s="1455"/>
      <c r="X637" s="1456"/>
      <c r="Y637" s="1457"/>
      <c r="Z637" s="1496" t="s">
        <v>1291</v>
      </c>
      <c r="AA637" s="1497"/>
      <c r="AB637" s="1498"/>
      <c r="AC637" s="1452"/>
      <c r="AD637" s="1453"/>
      <c r="AE637" s="1454"/>
      <c r="AF637" s="1381"/>
      <c r="AG637" s="1382"/>
      <c r="AH637" s="1382"/>
      <c r="AI637" s="1382"/>
      <c r="AJ637" s="1383"/>
      <c r="AK637" s="1461"/>
      <c r="AL637" s="1462"/>
      <c r="AM637" s="1462"/>
      <c r="AN637" s="1463"/>
      <c r="AO637" s="1396"/>
      <c r="AP637" s="1397"/>
      <c r="AQ637" s="1397"/>
      <c r="AR637" s="1397"/>
      <c r="AS637" s="1398"/>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486">
        <f>IF(J773="SRO/Studio",O773,0)</f>
        <v>0</v>
      </c>
      <c r="BO637" s="1487"/>
      <c r="BP637" s="1487"/>
      <c r="BQ637" s="1487"/>
      <c r="BR637" s="1488"/>
      <c r="BS637" s="1485">
        <f>IF(J773="1 Bedroom",O773,0)</f>
        <v>0</v>
      </c>
      <c r="BT637" s="1485"/>
      <c r="BU637" s="1485"/>
      <c r="BV637" s="1485"/>
      <c r="BW637" s="1485"/>
      <c r="BX637" s="1485">
        <f>IF(J773="2 Bedrooms",O773,0)</f>
        <v>0</v>
      </c>
      <c r="BY637" s="1485"/>
      <c r="BZ637" s="1485"/>
      <c r="CA637" s="1485"/>
      <c r="CB637" s="1485"/>
      <c r="CC637" s="1485">
        <f>IF(J773="3 Bedrooms",O773,0)</f>
        <v>2</v>
      </c>
      <c r="CD637" s="1485"/>
      <c r="CE637" s="1485"/>
      <c r="CF637" s="1485"/>
      <c r="CG637" s="1485"/>
      <c r="CH637" s="1485">
        <f>IF(J773="4 Bedrooms",O773,0)</f>
        <v>0</v>
      </c>
      <c r="CI637" s="1485"/>
      <c r="CJ637" s="1485"/>
      <c r="CK637" s="1485"/>
      <c r="CL637" s="1485"/>
      <c r="CM637" s="1485">
        <f>IF(J773="5 Bedrooms",O773,0)</f>
        <v>0</v>
      </c>
      <c r="CN637" s="1485"/>
      <c r="CO637" s="1485"/>
      <c r="CP637" s="1485"/>
      <c r="CQ637" s="1485"/>
      <c r="CR637" s="6"/>
      <c r="CS637" s="3"/>
      <c r="CT637" s="3"/>
      <c r="CU637" s="3"/>
      <c r="CV637" s="3"/>
      <c r="CW637" s="3"/>
      <c r="CX637" s="3"/>
      <c r="CY637" s="3"/>
      <c r="CZ637" s="3"/>
      <c r="DA637" s="3"/>
      <c r="DB637" s="3"/>
      <c r="DC637" s="3"/>
      <c r="DD637" s="3"/>
      <c r="DE637" s="3"/>
      <c r="DF637" s="3"/>
      <c r="DX637" s="1476" t="e">
        <f t="shared" si="29"/>
        <v>#VALUE!</v>
      </c>
      <c r="DY637" s="1476"/>
      <c r="DZ637" s="1476"/>
      <c r="EA637" s="1476"/>
      <c r="EB637" s="1476"/>
      <c r="EC637" s="1476" t="e">
        <f t="shared" si="24"/>
        <v>#VALUE!</v>
      </c>
      <c r="ED637" s="1476"/>
      <c r="EE637" s="1476"/>
      <c r="EF637" s="1476"/>
      <c r="EG637" s="1476"/>
      <c r="EH637" s="1476" t="e">
        <f t="shared" si="25"/>
        <v>#VALUE!</v>
      </c>
      <c r="EI637" s="1476"/>
      <c r="EJ637" s="1476"/>
      <c r="EK637" s="1476"/>
      <c r="EL637" s="1476"/>
      <c r="EM637" s="1476">
        <f t="shared" si="26"/>
        <v>67.777777777777771</v>
      </c>
      <c r="EN637" s="1476"/>
      <c r="EO637" s="1476"/>
      <c r="EP637" s="1476"/>
      <c r="EQ637" s="1476"/>
      <c r="ER637" s="1476" t="e">
        <f t="shared" si="27"/>
        <v>#VALUE!</v>
      </c>
      <c r="ES637" s="1476"/>
      <c r="ET637" s="1476"/>
      <c r="EU637" s="1476"/>
      <c r="EV637" s="1476"/>
      <c r="EW637" s="1476" t="e">
        <f t="shared" si="28"/>
        <v>#VALUE!</v>
      </c>
      <c r="EX637" s="1476"/>
      <c r="EY637" s="1476"/>
      <c r="EZ637" s="1476"/>
      <c r="FA637" s="1476"/>
    </row>
    <row r="638" spans="2:157" ht="12.95" customHeight="1">
      <c r="B638" s="52" t="s">
        <v>364</v>
      </c>
      <c r="C638" s="1450"/>
      <c r="D638" s="1450"/>
      <c r="E638" s="1450"/>
      <c r="F638" s="1450"/>
      <c r="G638" s="1450"/>
      <c r="H638" s="1450"/>
      <c r="I638" s="1450"/>
      <c r="J638" s="1450"/>
      <c r="K638" s="1450"/>
      <c r="L638" s="1450"/>
      <c r="M638" s="1449" t="s">
        <v>1291</v>
      </c>
      <c r="N638" s="1449"/>
      <c r="O638" s="1449"/>
      <c r="P638" s="1449"/>
      <c r="Q638" s="1458"/>
      <c r="R638" s="1459"/>
      <c r="S638" s="1460"/>
      <c r="T638" s="1458"/>
      <c r="U638" s="1459"/>
      <c r="V638" s="1460"/>
      <c r="W638" s="1455"/>
      <c r="X638" s="1456"/>
      <c r="Y638" s="1457"/>
      <c r="Z638" s="1496" t="s">
        <v>1291</v>
      </c>
      <c r="AA638" s="1497"/>
      <c r="AB638" s="1498"/>
      <c r="AC638" s="1452"/>
      <c r="AD638" s="1453"/>
      <c r="AE638" s="1454"/>
      <c r="AF638" s="1381"/>
      <c r="AG638" s="1382"/>
      <c r="AH638" s="1382"/>
      <c r="AI638" s="1382"/>
      <c r="AJ638" s="1383"/>
      <c r="AK638" s="1461"/>
      <c r="AL638" s="1462"/>
      <c r="AM638" s="1462"/>
      <c r="AN638" s="1463"/>
      <c r="AO638" s="1396"/>
      <c r="AP638" s="1397"/>
      <c r="AQ638" s="1397"/>
      <c r="AR638" s="1397"/>
      <c r="AS638" s="139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6">
        <f>IF(J774="SRO/Studio",O774,0)</f>
        <v>0</v>
      </c>
      <c r="BO638" s="1487"/>
      <c r="BP638" s="1487"/>
      <c r="BQ638" s="1487"/>
      <c r="BR638" s="1488"/>
      <c r="BS638" s="1485">
        <f>IF(J774="1 Bedroom",O774,0)</f>
        <v>0</v>
      </c>
      <c r="BT638" s="1485"/>
      <c r="BU638" s="1485"/>
      <c r="BV638" s="1485"/>
      <c r="BW638" s="1485"/>
      <c r="BX638" s="1485">
        <f>IF(J774="2 Bedrooms",O774,0)</f>
        <v>0</v>
      </c>
      <c r="BY638" s="1485"/>
      <c r="BZ638" s="1485"/>
      <c r="CA638" s="1485"/>
      <c r="CB638" s="1485"/>
      <c r="CC638" s="1485">
        <f>IF(J774="3 Bedrooms",O774,0)</f>
        <v>0</v>
      </c>
      <c r="CD638" s="1485"/>
      <c r="CE638" s="1485"/>
      <c r="CF638" s="1485"/>
      <c r="CG638" s="1485"/>
      <c r="CH638" s="1485">
        <f>IF(J774="4 Bedrooms",O774,0)</f>
        <v>0</v>
      </c>
      <c r="CI638" s="1485"/>
      <c r="CJ638" s="1485"/>
      <c r="CK638" s="1485"/>
      <c r="CL638" s="1485"/>
      <c r="CM638" s="1485">
        <f>IF(J774="5 Bedrooms",O774,0)</f>
        <v>0</v>
      </c>
      <c r="CN638" s="1485"/>
      <c r="CO638" s="1485"/>
      <c r="CP638" s="1485"/>
      <c r="CQ638" s="1485"/>
      <c r="CR638" s="6"/>
      <c r="CS638" s="3"/>
      <c r="CT638" s="3"/>
      <c r="CU638" s="3"/>
      <c r="CV638" s="3"/>
      <c r="CW638" s="3"/>
      <c r="CX638" s="3"/>
      <c r="CY638" s="3"/>
      <c r="CZ638" s="3"/>
      <c r="DA638" s="3"/>
      <c r="DB638" s="3"/>
      <c r="DC638" s="3"/>
      <c r="DD638" s="3"/>
      <c r="DE638" s="3"/>
      <c r="DF638" s="3"/>
      <c r="DX638" s="1476" t="e">
        <f t="shared" si="29"/>
        <v>#VALUE!</v>
      </c>
      <c r="DY638" s="1476"/>
      <c r="DZ638" s="1476"/>
      <c r="EA638" s="1476"/>
      <c r="EB638" s="1476"/>
      <c r="EC638" s="1476" t="e">
        <f t="shared" si="24"/>
        <v>#VALUE!</v>
      </c>
      <c r="ED638" s="1476"/>
      <c r="EE638" s="1476"/>
      <c r="EF638" s="1476"/>
      <c r="EG638" s="1476"/>
      <c r="EH638" s="1476" t="e">
        <f t="shared" si="25"/>
        <v>#VALUE!</v>
      </c>
      <c r="EI638" s="1476"/>
      <c r="EJ638" s="1476"/>
      <c r="EK638" s="1476"/>
      <c r="EL638" s="1476"/>
      <c r="EM638" s="1476" t="e">
        <f t="shared" si="26"/>
        <v>#VALUE!</v>
      </c>
      <c r="EN638" s="1476"/>
      <c r="EO638" s="1476"/>
      <c r="EP638" s="1476"/>
      <c r="EQ638" s="1476"/>
      <c r="ER638" s="1476">
        <f t="shared" si="27"/>
        <v>166.5</v>
      </c>
      <c r="ES638" s="1476"/>
      <c r="ET638" s="1476"/>
      <c r="EU638" s="1476"/>
      <c r="EV638" s="1476"/>
      <c r="EW638" s="1476" t="e">
        <f t="shared" si="28"/>
        <v>#VALUE!</v>
      </c>
      <c r="EX638" s="1476"/>
      <c r="EY638" s="1476"/>
      <c r="EZ638" s="1476"/>
      <c r="FA638" s="1476"/>
    </row>
    <row r="639" spans="2:157" ht="12.95" customHeight="1">
      <c r="B639" s="1652" t="s">
        <v>128</v>
      </c>
      <c r="C639" s="1653"/>
      <c r="D639" s="1653"/>
      <c r="E639" s="1653"/>
      <c r="F639" s="1653"/>
      <c r="G639" s="1653"/>
      <c r="H639" s="1653"/>
      <c r="I639" s="1653"/>
      <c r="J639" s="1653"/>
      <c r="K639" s="1653"/>
      <c r="L639" s="1653"/>
      <c r="M639" s="1653"/>
      <c r="N639" s="1653"/>
      <c r="O639" s="1653"/>
      <c r="P639" s="1653"/>
      <c r="Q639" s="1653"/>
      <c r="R639" s="1653"/>
      <c r="S639" s="1653"/>
      <c r="T639" s="1653"/>
      <c r="U639" s="1653"/>
      <c r="V639" s="1653"/>
      <c r="W639" s="1653"/>
      <c r="X639" s="1653"/>
      <c r="Y639" s="1653"/>
      <c r="Z639" s="1653"/>
      <c r="AA639" s="1653"/>
      <c r="AB639" s="1653"/>
      <c r="AC639" s="1653"/>
      <c r="AD639" s="1653"/>
      <c r="AE639" s="1653"/>
      <c r="AF639" s="1653"/>
      <c r="AG639" s="1653"/>
      <c r="AH639" s="1653"/>
      <c r="AI639" s="1653"/>
      <c r="AJ639" s="1653"/>
      <c r="AK639" s="1653"/>
      <c r="AL639" s="1653"/>
      <c r="AM639" s="1653"/>
      <c r="AN639" s="1654"/>
      <c r="AO639" s="1366">
        <f>SUM(AO627:AR638)</f>
        <v>37066479.579999998</v>
      </c>
      <c r="AP639" s="1367"/>
      <c r="AQ639" s="1367"/>
      <c r="AR639" s="1367"/>
      <c r="AS639" s="1368"/>
      <c r="AV639" s="3"/>
      <c r="AW639" s="3"/>
      <c r="AX639" s="3"/>
      <c r="AY639" s="3"/>
      <c r="AZ639" s="34"/>
      <c r="BA639" s="34"/>
      <c r="BB639" s="34"/>
      <c r="BC639" s="34"/>
      <c r="BD639" s="34"/>
      <c r="BE639" s="34"/>
      <c r="BF639" s="34"/>
      <c r="BG639" s="34"/>
      <c r="BH639" s="34"/>
      <c r="BI639" s="34"/>
      <c r="BJ639" s="34"/>
      <c r="BK639" s="34"/>
      <c r="BL639" s="34"/>
      <c r="BM639" s="34"/>
      <c r="BN639" s="1486">
        <f>IF(J775="SRO/Studio",O775,0)</f>
        <v>0</v>
      </c>
      <c r="BO639" s="1487"/>
      <c r="BP639" s="1487"/>
      <c r="BQ639" s="1487"/>
      <c r="BR639" s="1488"/>
      <c r="BS639" s="1485">
        <f>IF(J775="1 Bedroom",O775,0)</f>
        <v>0</v>
      </c>
      <c r="BT639" s="1485"/>
      <c r="BU639" s="1485"/>
      <c r="BV639" s="1485"/>
      <c r="BW639" s="1485"/>
      <c r="BX639" s="1485">
        <f>IF(J775="2 Bedrooms",O775,0)</f>
        <v>0</v>
      </c>
      <c r="BY639" s="1485"/>
      <c r="BZ639" s="1485"/>
      <c r="CA639" s="1485"/>
      <c r="CB639" s="1485"/>
      <c r="CC639" s="1485">
        <f>IF(J775="3 Bedrooms",O775,0)</f>
        <v>0</v>
      </c>
      <c r="CD639" s="1485"/>
      <c r="CE639" s="1485"/>
      <c r="CF639" s="1485"/>
      <c r="CG639" s="1485"/>
      <c r="CH639" s="1485">
        <f>IF(J775="4 Bedrooms",O775,0)</f>
        <v>0</v>
      </c>
      <c r="CI639" s="1485"/>
      <c r="CJ639" s="1485"/>
      <c r="CK639" s="1485"/>
      <c r="CL639" s="1485"/>
      <c r="CM639" s="1485">
        <f>IF(J775="5 Bedrooms",O775,0)</f>
        <v>0</v>
      </c>
      <c r="CN639" s="1485"/>
      <c r="CO639" s="1485"/>
      <c r="CP639" s="1485"/>
      <c r="CQ639" s="1485"/>
      <c r="CR639" s="1047"/>
      <c r="CV639" s="3"/>
      <c r="CW639" s="3"/>
      <c r="CX639" s="3"/>
      <c r="CY639" s="3"/>
      <c r="CZ639" s="3"/>
      <c r="DA639" s="3"/>
      <c r="DB639" s="3"/>
      <c r="DC639" s="3"/>
      <c r="DD639" s="3"/>
      <c r="DE639" s="3"/>
      <c r="DF639" s="3"/>
      <c r="DX639" s="1476" t="e">
        <f t="shared" si="29"/>
        <v>#VALUE!</v>
      </c>
      <c r="DY639" s="1476"/>
      <c r="DZ639" s="1476"/>
      <c r="EA639" s="1476"/>
      <c r="EB639" s="1476"/>
      <c r="EC639" s="1476">
        <f t="shared" si="24"/>
        <v>40.769230769230766</v>
      </c>
      <c r="ED639" s="1476"/>
      <c r="EE639" s="1476"/>
      <c r="EF639" s="1476"/>
      <c r="EG639" s="1476"/>
      <c r="EH639" s="1476" t="e">
        <f t="shared" si="25"/>
        <v>#VALUE!</v>
      </c>
      <c r="EI639" s="1476"/>
      <c r="EJ639" s="1476"/>
      <c r="EK639" s="1476"/>
      <c r="EL639" s="1476"/>
      <c r="EM639" s="1476" t="e">
        <f t="shared" si="26"/>
        <v>#VALUE!</v>
      </c>
      <c r="EN639" s="1476"/>
      <c r="EO639" s="1476"/>
      <c r="EP639" s="1476"/>
      <c r="EQ639" s="1476"/>
      <c r="ER639" s="1476" t="e">
        <f t="shared" si="27"/>
        <v>#VALUE!</v>
      </c>
      <c r="ES639" s="1476"/>
      <c r="ET639" s="1476"/>
      <c r="EU639" s="1476"/>
      <c r="EV639" s="1476"/>
      <c r="EW639" s="1476" t="e">
        <f t="shared" si="28"/>
        <v>#VALUE!</v>
      </c>
      <c r="EX639" s="1476"/>
      <c r="EY639" s="1476"/>
      <c r="EZ639" s="1476"/>
      <c r="FA639" s="1476"/>
    </row>
    <row r="640" spans="2:157" ht="12.95" customHeight="1">
      <c r="B640" s="1652" t="s">
        <v>268</v>
      </c>
      <c r="C640" s="1653"/>
      <c r="D640" s="1653"/>
      <c r="E640" s="1653"/>
      <c r="F640" s="1653"/>
      <c r="G640" s="1653"/>
      <c r="H640" s="1653"/>
      <c r="I640" s="1653"/>
      <c r="J640" s="1653"/>
      <c r="K640" s="1653"/>
      <c r="L640" s="1653"/>
      <c r="M640" s="1653"/>
      <c r="N640" s="1653"/>
      <c r="O640" s="1653"/>
      <c r="P640" s="1653"/>
      <c r="Q640" s="1653"/>
      <c r="R640" s="1653"/>
      <c r="S640" s="1653"/>
      <c r="T640" s="1653"/>
      <c r="U640" s="1653"/>
      <c r="V640" s="1653"/>
      <c r="W640" s="1653"/>
      <c r="X640" s="1653"/>
      <c r="Y640" s="1653"/>
      <c r="Z640" s="1653"/>
      <c r="AA640" s="1653"/>
      <c r="AB640" s="1653"/>
      <c r="AC640" s="1653"/>
      <c r="AD640" s="1653"/>
      <c r="AE640" s="1653"/>
      <c r="AF640" s="1653"/>
      <c r="AG640" s="1653"/>
      <c r="AH640" s="1653"/>
      <c r="AI640" s="1653"/>
      <c r="AJ640" s="1653"/>
      <c r="AK640" s="1653"/>
      <c r="AL640" s="1653"/>
      <c r="AM640" s="1653"/>
      <c r="AN640" s="1654"/>
      <c r="AO640" s="1396">
        <f>45084324+20505703.4</f>
        <v>65590027.399999999</v>
      </c>
      <c r="AP640" s="1397"/>
      <c r="AQ640" s="1397"/>
      <c r="AR640" s="1397"/>
      <c r="AS640" s="1398"/>
      <c r="AV640" s="3"/>
      <c r="AW640" s="3"/>
      <c r="AX640" s="3"/>
      <c r="AY640" s="3"/>
      <c r="AZ640" s="34"/>
      <c r="BA640" s="34"/>
      <c r="BB640" s="34"/>
      <c r="BC640" s="34"/>
      <c r="BD640" s="34"/>
      <c r="BE640" s="34"/>
      <c r="BF640" s="34"/>
      <c r="BG640" s="34"/>
      <c r="BH640" s="34"/>
      <c r="BI640" s="34"/>
      <c r="BJ640" s="34"/>
      <c r="BK640" s="34"/>
      <c r="BL640" s="34"/>
      <c r="BM640" s="34"/>
      <c r="BN640" s="1486">
        <f>IF(J776="SRO/Studio",O776,0)</f>
        <v>0</v>
      </c>
      <c r="BO640" s="1487"/>
      <c r="BP640" s="1487"/>
      <c r="BQ640" s="1487"/>
      <c r="BR640" s="1488"/>
      <c r="BS640" s="1485">
        <f>IF(J776="1 Bedroom",O776,0)</f>
        <v>0</v>
      </c>
      <c r="BT640" s="1485"/>
      <c r="BU640" s="1485"/>
      <c r="BV640" s="1485"/>
      <c r="BW640" s="1485"/>
      <c r="BX640" s="1485">
        <f>IF(J776="2 Bedrooms",O776,0)</f>
        <v>0</v>
      </c>
      <c r="BY640" s="1485"/>
      <c r="BZ640" s="1485"/>
      <c r="CA640" s="1485"/>
      <c r="CB640" s="1485"/>
      <c r="CC640" s="1485">
        <f>IF(J776="3 Bedrooms",O776,0)</f>
        <v>0</v>
      </c>
      <c r="CD640" s="1485"/>
      <c r="CE640" s="1485"/>
      <c r="CF640" s="1485"/>
      <c r="CG640" s="1485"/>
      <c r="CH640" s="1485">
        <f>IF(J776="4 Bedrooms",O776,0)</f>
        <v>0</v>
      </c>
      <c r="CI640" s="1485"/>
      <c r="CJ640" s="1485"/>
      <c r="CK640" s="1485"/>
      <c r="CL640" s="1485"/>
      <c r="CM640" s="1485">
        <f>IF(J776="5 Bedrooms",O776,0)</f>
        <v>0</v>
      </c>
      <c r="CN640" s="1485"/>
      <c r="CO640" s="1485"/>
      <c r="CP640" s="1485"/>
      <c r="CQ640" s="1485"/>
      <c r="CV640" s="3"/>
      <c r="CW640" s="3"/>
      <c r="CX640" s="3"/>
      <c r="CY640" s="3"/>
      <c r="CZ640" s="3"/>
      <c r="DA640" s="3"/>
      <c r="DB640" s="3"/>
      <c r="DC640" s="3"/>
      <c r="DD640" s="3"/>
      <c r="DE640" s="3"/>
      <c r="DF640" s="3"/>
      <c r="DX640" s="1476" t="e">
        <f t="shared" si="29"/>
        <v>#VALUE!</v>
      </c>
      <c r="DY640" s="1476"/>
      <c r="DZ640" s="1476"/>
      <c r="EA640" s="1476"/>
      <c r="EB640" s="1476"/>
      <c r="EC640" s="1476">
        <f t="shared" si="24"/>
        <v>138.61538461538461</v>
      </c>
      <c r="ED640" s="1476"/>
      <c r="EE640" s="1476"/>
      <c r="EF640" s="1476"/>
      <c r="EG640" s="1476"/>
      <c r="EH640" s="1476" t="e">
        <f t="shared" si="25"/>
        <v>#VALUE!</v>
      </c>
      <c r="EI640" s="1476"/>
      <c r="EJ640" s="1476"/>
      <c r="EK640" s="1476"/>
      <c r="EL640" s="1476"/>
      <c r="EM640" s="1476" t="e">
        <f t="shared" si="26"/>
        <v>#VALUE!</v>
      </c>
      <c r="EN640" s="1476"/>
      <c r="EO640" s="1476"/>
      <c r="EP640" s="1476"/>
      <c r="EQ640" s="1476"/>
      <c r="ER640" s="1476" t="e">
        <f t="shared" si="27"/>
        <v>#VALUE!</v>
      </c>
      <c r="ES640" s="1476"/>
      <c r="ET640" s="1476"/>
      <c r="EU640" s="1476"/>
      <c r="EV640" s="1476"/>
      <c r="EW640" s="1476" t="e">
        <f t="shared" si="28"/>
        <v>#VALUE!</v>
      </c>
      <c r="EX640" s="1476"/>
      <c r="EY640" s="1476"/>
      <c r="EZ640" s="1476"/>
      <c r="FA640" s="1476"/>
    </row>
    <row r="641" spans="1:157" ht="12.95" customHeight="1">
      <c r="B641" s="1762" t="s">
        <v>269</v>
      </c>
      <c r="C641" s="1707"/>
      <c r="D641" s="1707"/>
      <c r="E641" s="1707"/>
      <c r="F641" s="1707"/>
      <c r="G641" s="1707"/>
      <c r="H641" s="1707"/>
      <c r="I641" s="1707"/>
      <c r="J641" s="1707"/>
      <c r="K641" s="1707"/>
      <c r="L641" s="1707"/>
      <c r="M641" s="1707"/>
      <c r="N641" s="1707"/>
      <c r="O641" s="1707"/>
      <c r="P641" s="1707"/>
      <c r="Q641" s="1707"/>
      <c r="R641" s="1707"/>
      <c r="S641" s="1707"/>
      <c r="T641" s="1707"/>
      <c r="U641" s="1707"/>
      <c r="V641" s="1707"/>
      <c r="W641" s="1707"/>
      <c r="X641" s="1707"/>
      <c r="Y641" s="1707"/>
      <c r="Z641" s="1707"/>
      <c r="AA641" s="1707"/>
      <c r="AB641" s="1707"/>
      <c r="AC641" s="1707"/>
      <c r="AD641" s="1707"/>
      <c r="AE641" s="1707"/>
      <c r="AF641" s="1707"/>
      <c r="AG641" s="1707"/>
      <c r="AH641" s="1707"/>
      <c r="AI641" s="1707"/>
      <c r="AJ641" s="1707"/>
      <c r="AK641" s="1707"/>
      <c r="AL641" s="1707"/>
      <c r="AM641" s="1707"/>
      <c r="AN641" s="1763"/>
      <c r="AO641" s="1366">
        <f>AO639+AO640</f>
        <v>102656506.97999999</v>
      </c>
      <c r="AP641" s="1367"/>
      <c r="AQ641" s="1367"/>
      <c r="AR641" s="1367"/>
      <c r="AS641" s="1368"/>
      <c r="AV641" s="3"/>
      <c r="AW641" s="3"/>
      <c r="AX641" s="3"/>
      <c r="AY641" s="3"/>
      <c r="AZ641" s="34"/>
      <c r="BA641" s="34"/>
      <c r="BB641" s="34"/>
      <c r="BC641" s="34"/>
      <c r="BD641" s="34"/>
      <c r="BE641" s="34"/>
      <c r="BF641" s="34"/>
      <c r="BG641" s="34"/>
      <c r="BH641" s="34"/>
      <c r="BI641" s="34"/>
      <c r="BJ641" s="34"/>
      <c r="BK641" s="34"/>
      <c r="BL641" s="34"/>
      <c r="BM641" s="34"/>
      <c r="BN641" s="1492">
        <f>SUM(BN637:BR640)</f>
        <v>0</v>
      </c>
      <c r="BO641" s="1493"/>
      <c r="BP641" s="1493"/>
      <c r="BQ641" s="1493"/>
      <c r="BR641" s="1494"/>
      <c r="BS641" s="1479">
        <f>SUM(BS637:BW640)</f>
        <v>0</v>
      </c>
      <c r="BT641" s="1480"/>
      <c r="BU641" s="1480"/>
      <c r="BV641" s="1480"/>
      <c r="BW641" s="1481"/>
      <c r="BX641" s="1479">
        <f>SUM(BX637:CB640)</f>
        <v>0</v>
      </c>
      <c r="BY641" s="1480"/>
      <c r="BZ641" s="1480"/>
      <c r="CA641" s="1480"/>
      <c r="CB641" s="1481"/>
      <c r="CC641" s="1479">
        <f>SUM(CC637:CG640)</f>
        <v>2</v>
      </c>
      <c r="CD641" s="1480"/>
      <c r="CE641" s="1480"/>
      <c r="CF641" s="1480"/>
      <c r="CG641" s="1481"/>
      <c r="CH641" s="1479">
        <f>SUM(CH637:CL640)</f>
        <v>0</v>
      </c>
      <c r="CI641" s="1480"/>
      <c r="CJ641" s="1480"/>
      <c r="CK641" s="1480"/>
      <c r="CL641" s="1481"/>
      <c r="CM641" s="1479">
        <f>SUM(CM637:CQ640)</f>
        <v>0</v>
      </c>
      <c r="CN641" s="1480"/>
      <c r="CO641" s="1480"/>
      <c r="CP641" s="1480"/>
      <c r="CQ641" s="1481"/>
      <c r="CS641" s="895">
        <f>BN641+BS641+BX641+CC641+CH641+CM641</f>
        <v>2</v>
      </c>
      <c r="CT641" s="57" t="s">
        <v>2052</v>
      </c>
      <c r="CU641" s="3"/>
      <c r="CV641" s="3"/>
      <c r="CW641" s="3"/>
      <c r="CX641" s="3"/>
      <c r="CY641" s="3"/>
      <c r="CZ641" s="3"/>
      <c r="DA641" s="3"/>
      <c r="DB641" s="3"/>
      <c r="DC641" s="3"/>
      <c r="DD641" s="3"/>
      <c r="DE641" s="3"/>
      <c r="DF641" s="3"/>
      <c r="DX641" s="1476" t="e">
        <f t="shared" si="29"/>
        <v>#VALUE!</v>
      </c>
      <c r="DY641" s="1476"/>
      <c r="DZ641" s="1476"/>
      <c r="EA641" s="1476"/>
      <c r="EB641" s="1476"/>
      <c r="EC641" s="1476" t="e">
        <f t="shared" si="24"/>
        <v>#VALUE!</v>
      </c>
      <c r="ED641" s="1476"/>
      <c r="EE641" s="1476"/>
      <c r="EF641" s="1476"/>
      <c r="EG641" s="1476"/>
      <c r="EH641" s="1476">
        <f t="shared" si="25"/>
        <v>155.83333333333334</v>
      </c>
      <c r="EI641" s="1476"/>
      <c r="EJ641" s="1476"/>
      <c r="EK641" s="1476"/>
      <c r="EL641" s="1476"/>
      <c r="EM641" s="1476" t="e">
        <f t="shared" si="26"/>
        <v>#VALUE!</v>
      </c>
      <c r="EN641" s="1476"/>
      <c r="EO641" s="1476"/>
      <c r="EP641" s="1476"/>
      <c r="EQ641" s="1476"/>
      <c r="ER641" s="1476" t="e">
        <f t="shared" si="27"/>
        <v>#VALUE!</v>
      </c>
      <c r="ES641" s="1476"/>
      <c r="ET641" s="1476"/>
      <c r="EU641" s="1476"/>
      <c r="EV641" s="1476"/>
      <c r="EW641" s="1476" t="e">
        <f t="shared" si="28"/>
        <v>#VALUE!</v>
      </c>
      <c r="EX641" s="1476"/>
      <c r="EY641" s="1476"/>
      <c r="EZ641" s="1476"/>
      <c r="FA641" s="147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6</v>
      </c>
      <c r="CH642" s="3"/>
      <c r="CI642" s="3"/>
      <c r="CJ642" s="3"/>
      <c r="CK642" s="3"/>
      <c r="CL642" s="895">
        <f>CH641*4</f>
        <v>0</v>
      </c>
      <c r="CM642" s="3"/>
      <c r="CN642" s="3"/>
      <c r="CO642" s="3"/>
      <c r="CP642" s="3"/>
      <c r="CQ642" s="895">
        <f>CM641*5</f>
        <v>0</v>
      </c>
      <c r="CS642" s="895">
        <f>BR642+BW642+CB642+CG642+CL642+CQ642</f>
        <v>6</v>
      </c>
      <c r="CT642" s="57" t="s">
        <v>2054</v>
      </c>
      <c r="CU642" s="3"/>
      <c r="CV642" s="3"/>
      <c r="CW642" s="3"/>
      <c r="CX642" s="3"/>
      <c r="CY642" s="3"/>
      <c r="CZ642" s="3"/>
      <c r="DA642" s="3"/>
      <c r="DB642" s="3"/>
      <c r="DC642" s="3"/>
      <c r="DD642" s="3"/>
      <c r="DE642" s="3"/>
      <c r="DF642" s="3"/>
      <c r="DX642" s="1476" t="e">
        <f t="shared" si="29"/>
        <v>#VALUE!</v>
      </c>
      <c r="DY642" s="1476"/>
      <c r="DZ642" s="1476"/>
      <c r="EA642" s="1476"/>
      <c r="EB642" s="1476"/>
      <c r="EC642" s="1476" t="e">
        <f t="shared" si="24"/>
        <v>#VALUE!</v>
      </c>
      <c r="ED642" s="1476"/>
      <c r="EE642" s="1476"/>
      <c r="EF642" s="1476"/>
      <c r="EG642" s="1476"/>
      <c r="EH642" s="1476" t="e">
        <f t="shared" si="25"/>
        <v>#VALUE!</v>
      </c>
      <c r="EI642" s="1476"/>
      <c r="EJ642" s="1476"/>
      <c r="EK642" s="1476"/>
      <c r="EL642" s="1476"/>
      <c r="EM642" s="1476">
        <f t="shared" si="26"/>
        <v>189.33333333333331</v>
      </c>
      <c r="EN642" s="1476"/>
      <c r="EO642" s="1476"/>
      <c r="EP642" s="1476"/>
      <c r="EQ642" s="1476"/>
      <c r="ER642" s="1476" t="e">
        <f t="shared" si="27"/>
        <v>#VALUE!</v>
      </c>
      <c r="ES642" s="1476"/>
      <c r="ET642" s="1476"/>
      <c r="EU642" s="1476"/>
      <c r="EV642" s="1476"/>
      <c r="EW642" s="1476" t="e">
        <f t="shared" si="28"/>
        <v>#VALUE!</v>
      </c>
      <c r="EX642" s="1476"/>
      <c r="EY642" s="1476"/>
      <c r="EZ642" s="1476"/>
      <c r="FA642" s="1476"/>
    </row>
    <row r="643" spans="1:157" ht="12.95" customHeight="1">
      <c r="A643" s="55" t="s">
        <v>112</v>
      </c>
      <c r="B643" t="s">
        <v>472</v>
      </c>
      <c r="G643" s="1451" t="str">
        <f>C627</f>
        <v>Citibank N.A./Perm Loan</v>
      </c>
      <c r="H643" s="1451"/>
      <c r="I643" s="1451"/>
      <c r="J643" s="1451"/>
      <c r="K643" s="1451"/>
      <c r="L643" s="1451"/>
      <c r="M643" s="1451"/>
      <c r="N643" s="1451"/>
      <c r="O643" s="1451"/>
      <c r="P643" s="1451"/>
      <c r="Q643" s="1451"/>
      <c r="R643" s="1451"/>
      <c r="S643" s="8"/>
      <c r="T643" s="55" t="s">
        <v>113</v>
      </c>
      <c r="U643" t="s">
        <v>472</v>
      </c>
      <c r="Z643" s="1451" t="str">
        <f>C628</f>
        <v>Aegon/Solar TC</v>
      </c>
      <c r="AA643" s="1451"/>
      <c r="AB643" s="1451"/>
      <c r="AC643" s="1451"/>
      <c r="AD643" s="1451"/>
      <c r="AE643" s="1451"/>
      <c r="AF643" s="1451"/>
      <c r="AG643" s="1451"/>
      <c r="AH643" s="1451"/>
      <c r="AI643" s="1451"/>
      <c r="AJ643" s="1451"/>
      <c r="AK643" s="145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6" t="e">
        <f t="shared" si="29"/>
        <v>#VALUE!</v>
      </c>
      <c r="DY643" s="1476"/>
      <c r="DZ643" s="1476"/>
      <c r="EA643" s="1476"/>
      <c r="EB643" s="1476"/>
      <c r="EC643" s="1476" t="e">
        <f t="shared" si="24"/>
        <v>#VALUE!</v>
      </c>
      <c r="ED643" s="1476"/>
      <c r="EE643" s="1476"/>
      <c r="EF643" s="1476"/>
      <c r="EG643" s="1476"/>
      <c r="EH643" s="1476" t="e">
        <f t="shared" si="25"/>
        <v>#VALUE!</v>
      </c>
      <c r="EI643" s="1476"/>
      <c r="EJ643" s="1476"/>
      <c r="EK643" s="1476"/>
      <c r="EL643" s="1476"/>
      <c r="EM643" s="1476" t="e">
        <f t="shared" si="26"/>
        <v>#VALUE!</v>
      </c>
      <c r="EN643" s="1476"/>
      <c r="EO643" s="1476"/>
      <c r="EP643" s="1476"/>
      <c r="EQ643" s="1476"/>
      <c r="ER643" s="1476">
        <f t="shared" si="27"/>
        <v>234.25</v>
      </c>
      <c r="ES643" s="1476"/>
      <c r="ET643" s="1476"/>
      <c r="EU643" s="1476"/>
      <c r="EV643" s="1476"/>
      <c r="EW643" s="1476" t="e">
        <f t="shared" si="28"/>
        <v>#VALUE!</v>
      </c>
      <c r="EX643" s="1476"/>
      <c r="EY643" s="1476"/>
      <c r="EZ643" s="1476"/>
      <c r="FA643" s="1476"/>
    </row>
    <row r="644" spans="1:157" ht="12.95" customHeight="1">
      <c r="A644" s="22"/>
      <c r="B644" t="s">
        <v>85</v>
      </c>
      <c r="G644" s="1406" t="s">
        <v>2721</v>
      </c>
      <c r="H644" s="1406"/>
      <c r="I644" s="1406"/>
      <c r="J644" s="1406"/>
      <c r="K644" s="1406"/>
      <c r="L644" s="1406"/>
      <c r="M644" s="1406"/>
      <c r="N644" s="1406"/>
      <c r="O644" s="1406"/>
      <c r="P644" s="1406"/>
      <c r="Q644" s="1406"/>
      <c r="R644" s="1406"/>
      <c r="S644" s="8"/>
      <c r="T644" s="22"/>
      <c r="U644" t="s">
        <v>85</v>
      </c>
      <c r="Z644" s="1406" t="s">
        <v>2686</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76" t="e">
        <f t="shared" si="29"/>
        <v>#VALUE!</v>
      </c>
      <c r="DY644" s="1476"/>
      <c r="DZ644" s="1476"/>
      <c r="EA644" s="1476"/>
      <c r="EB644" s="1476"/>
      <c r="EC644" s="1476">
        <f t="shared" si="24"/>
        <v>41.589743589743591</v>
      </c>
      <c r="ED644" s="1476"/>
      <c r="EE644" s="1476"/>
      <c r="EF644" s="1476"/>
      <c r="EG644" s="1476"/>
      <c r="EH644" s="1476" t="e">
        <f t="shared" si="25"/>
        <v>#VALUE!</v>
      </c>
      <c r="EI644" s="1476"/>
      <c r="EJ644" s="1476"/>
      <c r="EK644" s="1476"/>
      <c r="EL644" s="1476"/>
      <c r="EM644" s="1476" t="e">
        <f t="shared" si="26"/>
        <v>#VALUE!</v>
      </c>
      <c r="EN644" s="1476"/>
      <c r="EO644" s="1476"/>
      <c r="EP644" s="1476"/>
      <c r="EQ644" s="1476"/>
      <c r="ER644" s="1476" t="e">
        <f t="shared" si="27"/>
        <v>#VALUE!</v>
      </c>
      <c r="ES644" s="1476"/>
      <c r="ET644" s="1476"/>
      <c r="EU644" s="1476"/>
      <c r="EV644" s="1476"/>
      <c r="EW644" s="1476" t="e">
        <f t="shared" si="28"/>
        <v>#VALUE!</v>
      </c>
      <c r="EX644" s="1476"/>
      <c r="EY644" s="1476"/>
      <c r="EZ644" s="1476"/>
      <c r="FA644" s="1476"/>
    </row>
    <row r="645" spans="1:157" ht="12.95" customHeight="1">
      <c r="A645" s="22"/>
      <c r="B645" t="s">
        <v>589</v>
      </c>
      <c r="G645" s="1406" t="s">
        <v>2722</v>
      </c>
      <c r="H645" s="1406"/>
      <c r="I645" s="1406"/>
      <c r="J645" s="1406"/>
      <c r="K645" s="1406"/>
      <c r="L645" s="1406"/>
      <c r="M645" s="1406"/>
      <c r="N645" s="1406"/>
      <c r="O645" s="1406"/>
      <c r="P645" s="1406"/>
      <c r="Q645" s="1406"/>
      <c r="R645" s="1406"/>
      <c r="T645" s="22"/>
      <c r="U645" t="s">
        <v>589</v>
      </c>
      <c r="Z645" s="1407" t="s">
        <v>740</v>
      </c>
      <c r="AA645" s="1407"/>
      <c r="AB645" s="1407"/>
      <c r="AC645" s="1407"/>
      <c r="AD645" s="1407"/>
      <c r="AE645" s="1407"/>
      <c r="AF645" s="1407"/>
      <c r="AG645" s="1407"/>
      <c r="AH645" s="1407"/>
      <c r="AI645" s="1407"/>
      <c r="AJ645" s="1407"/>
      <c r="AK645" s="1407"/>
      <c r="AV645" s="3"/>
      <c r="AW645" s="3"/>
      <c r="AX645" s="3"/>
      <c r="AY645" s="3"/>
      <c r="AZ645" s="3"/>
      <c r="BA645" s="3"/>
      <c r="BB645" s="3"/>
      <c r="BC645" s="3"/>
      <c r="BD645" s="3"/>
      <c r="BE645" s="3"/>
      <c r="BF645" s="3"/>
      <c r="BG645" s="3"/>
      <c r="BH645" s="3"/>
      <c r="BI645" s="3"/>
      <c r="BJ645" s="3"/>
      <c r="BK645" s="3"/>
      <c r="BL645" s="3"/>
      <c r="BM645" s="3"/>
      <c r="BN645" s="1486">
        <f t="shared" ref="BN645:BN654" si="30">IF(J787="SRO/Studio",O787,0)</f>
        <v>0</v>
      </c>
      <c r="BO645" s="1487"/>
      <c r="BP645" s="1487"/>
      <c r="BQ645" s="1487"/>
      <c r="BR645" s="1488"/>
      <c r="BS645" s="1485">
        <f t="shared" ref="BS645:BS654" si="31">IF(J787="1 Bedroom",O787,0)</f>
        <v>0</v>
      </c>
      <c r="BT645" s="1485"/>
      <c r="BU645" s="1485"/>
      <c r="BV645" s="1485"/>
      <c r="BW645" s="1485"/>
      <c r="BX645" s="1485">
        <f t="shared" ref="BX645:BX654" si="32">IF(J787="2 Bedrooms",O787,0)</f>
        <v>0</v>
      </c>
      <c r="BY645" s="1485"/>
      <c r="BZ645" s="1485"/>
      <c r="CA645" s="1485"/>
      <c r="CB645" s="1485"/>
      <c r="CC645" s="1485">
        <f t="shared" ref="CC645:CC654" si="33">IF(J787="3 Bedrooms",O787,0)</f>
        <v>0</v>
      </c>
      <c r="CD645" s="1485"/>
      <c r="CE645" s="1485"/>
      <c r="CF645" s="1485"/>
      <c r="CG645" s="1485"/>
      <c r="CH645" s="1485">
        <f t="shared" ref="CH645:CH654" si="34">IF(J787="4 Bedrooms",O787,0)</f>
        <v>0</v>
      </c>
      <c r="CI645" s="1485"/>
      <c r="CJ645" s="1485"/>
      <c r="CK645" s="1485"/>
      <c r="CL645" s="1485"/>
      <c r="CM645" s="1485">
        <f t="shared" ref="CM645:CM654" si="35">IF(J787="5 Bedrooms",O787,0)</f>
        <v>0</v>
      </c>
      <c r="CN645" s="1485"/>
      <c r="CO645" s="1485"/>
      <c r="CP645" s="1485"/>
      <c r="CQ645" s="1485"/>
      <c r="CR645" s="6"/>
      <c r="CS645" s="1486">
        <f t="shared" ref="CS645:CS654" si="36">IF(AND(BN645&gt;=1,AH787&gt;=0.1,AH787&lt;=1),O787,0)</f>
        <v>0</v>
      </c>
      <c r="CT645" s="1487"/>
      <c r="CU645" s="1487"/>
      <c r="CV645" s="1487"/>
      <c r="CW645" s="1488"/>
      <c r="CX645" s="1486">
        <f t="shared" ref="CX645:CX654" si="37">IF(AND(BS645&gt;=1,AH787&gt;=0.1,AH787&lt;=1),O787,0)</f>
        <v>0</v>
      </c>
      <c r="CY645" s="1487"/>
      <c r="CZ645" s="1487"/>
      <c r="DA645" s="1487"/>
      <c r="DB645" s="1488"/>
      <c r="DC645" s="1486">
        <f t="shared" ref="DC645:DC654" si="38">IF(AND(BX645&gt;=1,AH787&gt;=0.1,AH787&lt;=1),O787,0)</f>
        <v>0</v>
      </c>
      <c r="DD645" s="1487"/>
      <c r="DE645" s="1487"/>
      <c r="DF645" s="1487"/>
      <c r="DG645" s="1488"/>
      <c r="DH645" s="1486">
        <f t="shared" ref="DH645:DH654" si="39">IF(AND(CC645&gt;=1,AH787&gt;=0.1,AH787&lt;=1),O787,0)</f>
        <v>0</v>
      </c>
      <c r="DI645" s="1487"/>
      <c r="DJ645" s="1487"/>
      <c r="DK645" s="1487"/>
      <c r="DL645" s="1488"/>
      <c r="DM645" s="1486">
        <f t="shared" ref="DM645:DM654" si="40">IF(AND(CH645&gt;=1,AH787&gt;=0.1,AH787&lt;=1),O787,0)</f>
        <v>0</v>
      </c>
      <c r="DN645" s="1487"/>
      <c r="DO645" s="1487"/>
      <c r="DP645" s="1487"/>
      <c r="DQ645" s="1488"/>
      <c r="DR645" s="1486">
        <f t="shared" ref="DR645:DR654" si="41">IF(AND(CM645&gt;=1,AH787&gt;=0.1,AH787&lt;=1),O787,0)</f>
        <v>0</v>
      </c>
      <c r="DS645" s="1487"/>
      <c r="DT645" s="1487"/>
      <c r="DU645" s="1487"/>
      <c r="DV645" s="1488"/>
      <c r="DX645" s="1476" t="e">
        <f t="shared" si="29"/>
        <v>#VALUE!</v>
      </c>
      <c r="DY645" s="1476"/>
      <c r="DZ645" s="1476"/>
      <c r="EA645" s="1476"/>
      <c r="EB645" s="1476"/>
      <c r="EC645" s="1476">
        <f t="shared" si="24"/>
        <v>207.94871794871793</v>
      </c>
      <c r="ED645" s="1476"/>
      <c r="EE645" s="1476"/>
      <c r="EF645" s="1476"/>
      <c r="EG645" s="1476"/>
      <c r="EH645" s="1476" t="e">
        <f t="shared" si="25"/>
        <v>#VALUE!</v>
      </c>
      <c r="EI645" s="1476"/>
      <c r="EJ645" s="1476"/>
      <c r="EK645" s="1476"/>
      <c r="EL645" s="1476"/>
      <c r="EM645" s="1476" t="e">
        <f t="shared" si="26"/>
        <v>#VALUE!</v>
      </c>
      <c r="EN645" s="1476"/>
      <c r="EO645" s="1476"/>
      <c r="EP645" s="1476"/>
      <c r="EQ645" s="1476"/>
      <c r="ER645" s="1476" t="e">
        <f t="shared" si="27"/>
        <v>#VALUE!</v>
      </c>
      <c r="ES645" s="1476"/>
      <c r="ET645" s="1476"/>
      <c r="EU645" s="1476"/>
      <c r="EV645" s="1476"/>
      <c r="EW645" s="1476" t="e">
        <f t="shared" si="28"/>
        <v>#VALUE!</v>
      </c>
      <c r="EX645" s="1476"/>
      <c r="EY645" s="1476"/>
      <c r="EZ645" s="1476"/>
      <c r="FA645" s="1476"/>
    </row>
    <row r="646" spans="1:157" ht="12.95" customHeight="1">
      <c r="A646" s="22"/>
      <c r="B646" t="s">
        <v>17</v>
      </c>
      <c r="G646" s="1406" t="s">
        <v>2723</v>
      </c>
      <c r="H646" s="1406"/>
      <c r="I646" s="1406"/>
      <c r="J646" s="1406"/>
      <c r="K646" s="1406"/>
      <c r="L646" s="1406"/>
      <c r="M646" s="1406"/>
      <c r="N646" s="1406"/>
      <c r="O646" s="1406"/>
      <c r="P646" s="1406"/>
      <c r="Q646" s="1406"/>
      <c r="R646" s="1406"/>
      <c r="S646" s="8"/>
      <c r="T646" s="22"/>
      <c r="U646" t="s">
        <v>17</v>
      </c>
      <c r="Z646" s="1407" t="s">
        <v>2687</v>
      </c>
      <c r="AA646" s="1407"/>
      <c r="AB646" s="1407"/>
      <c r="AC646" s="1407"/>
      <c r="AD646" s="1407"/>
      <c r="AE646" s="1407"/>
      <c r="AF646" s="1407"/>
      <c r="AG646" s="1407"/>
      <c r="AH646" s="1407"/>
      <c r="AI646" s="1407"/>
      <c r="AJ646" s="1407"/>
      <c r="AK646" s="1407"/>
      <c r="AZ646" s="3"/>
      <c r="BA646" s="3"/>
      <c r="BB646" s="3"/>
      <c r="BC646" s="3"/>
      <c r="BD646" s="3"/>
      <c r="BE646" s="3"/>
      <c r="BF646" s="3"/>
      <c r="BG646" s="3"/>
      <c r="BH646" s="3"/>
      <c r="BI646" s="3"/>
      <c r="BJ646" s="3"/>
      <c r="BK646" s="3"/>
      <c r="BL646" s="3"/>
      <c r="BM646" s="3"/>
      <c r="BN646" s="1486">
        <f t="shared" si="30"/>
        <v>0</v>
      </c>
      <c r="BO646" s="1487"/>
      <c r="BP646" s="1487"/>
      <c r="BQ646" s="1487"/>
      <c r="BR646" s="1488"/>
      <c r="BS646" s="1485">
        <f t="shared" si="31"/>
        <v>0</v>
      </c>
      <c r="BT646" s="1485"/>
      <c r="BU646" s="1485"/>
      <c r="BV646" s="1485"/>
      <c r="BW646" s="1485"/>
      <c r="BX646" s="1485">
        <f t="shared" si="32"/>
        <v>0</v>
      </c>
      <c r="BY646" s="1485"/>
      <c r="BZ646" s="1485"/>
      <c r="CA646" s="1485"/>
      <c r="CB646" s="1485"/>
      <c r="CC646" s="1485">
        <f t="shared" si="33"/>
        <v>0</v>
      </c>
      <c r="CD646" s="1485"/>
      <c r="CE646" s="1485"/>
      <c r="CF646" s="1485"/>
      <c r="CG646" s="1485"/>
      <c r="CH646" s="1485">
        <f t="shared" si="34"/>
        <v>0</v>
      </c>
      <c r="CI646" s="1485"/>
      <c r="CJ646" s="1485"/>
      <c r="CK646" s="1485"/>
      <c r="CL646" s="1485"/>
      <c r="CM646" s="1485">
        <f t="shared" si="35"/>
        <v>0</v>
      </c>
      <c r="CN646" s="1485"/>
      <c r="CO646" s="1485"/>
      <c r="CP646" s="1485"/>
      <c r="CQ646" s="1485"/>
      <c r="CR646" s="6"/>
      <c r="CS646" s="1486">
        <f t="shared" si="36"/>
        <v>0</v>
      </c>
      <c r="CT646" s="1487"/>
      <c r="CU646" s="1487"/>
      <c r="CV646" s="1487"/>
      <c r="CW646" s="1488"/>
      <c r="CX646" s="1486">
        <f t="shared" si="37"/>
        <v>0</v>
      </c>
      <c r="CY646" s="1487"/>
      <c r="CZ646" s="1487"/>
      <c r="DA646" s="1487"/>
      <c r="DB646" s="1488"/>
      <c r="DC646" s="1486">
        <f t="shared" si="38"/>
        <v>0</v>
      </c>
      <c r="DD646" s="1487"/>
      <c r="DE646" s="1487"/>
      <c r="DF646" s="1487"/>
      <c r="DG646" s="1488"/>
      <c r="DH646" s="1486">
        <f t="shared" si="39"/>
        <v>0</v>
      </c>
      <c r="DI646" s="1487"/>
      <c r="DJ646" s="1487"/>
      <c r="DK646" s="1487"/>
      <c r="DL646" s="1488"/>
      <c r="DM646" s="1486">
        <f t="shared" si="40"/>
        <v>0</v>
      </c>
      <c r="DN646" s="1487"/>
      <c r="DO646" s="1487"/>
      <c r="DP646" s="1487"/>
      <c r="DQ646" s="1488"/>
      <c r="DR646" s="1486">
        <f t="shared" si="41"/>
        <v>0</v>
      </c>
      <c r="DS646" s="1487"/>
      <c r="DT646" s="1487"/>
      <c r="DU646" s="1487"/>
      <c r="DV646" s="1488"/>
      <c r="DX646" s="1476" t="e">
        <f t="shared" si="29"/>
        <v>#VALUE!</v>
      </c>
      <c r="DY646" s="1476"/>
      <c r="DZ646" s="1476"/>
      <c r="EA646" s="1476"/>
      <c r="EB646" s="1476"/>
      <c r="EC646" s="1476" t="e">
        <f t="shared" si="24"/>
        <v>#VALUE!</v>
      </c>
      <c r="ED646" s="1476"/>
      <c r="EE646" s="1476"/>
      <c r="EF646" s="1476"/>
      <c r="EG646" s="1476"/>
      <c r="EH646" s="1476">
        <f t="shared" si="25"/>
        <v>159.5</v>
      </c>
      <c r="EI646" s="1476"/>
      <c r="EJ646" s="1476"/>
      <c r="EK646" s="1476"/>
      <c r="EL646" s="1476"/>
      <c r="EM646" s="1476" t="e">
        <f t="shared" si="26"/>
        <v>#VALUE!</v>
      </c>
      <c r="EN646" s="1476"/>
      <c r="EO646" s="1476"/>
      <c r="EP646" s="1476"/>
      <c r="EQ646" s="1476"/>
      <c r="ER646" s="1476" t="e">
        <f t="shared" si="27"/>
        <v>#VALUE!</v>
      </c>
      <c r="ES646" s="1476"/>
      <c r="ET646" s="1476"/>
      <c r="EU646" s="1476"/>
      <c r="EV646" s="1476"/>
      <c r="EW646" s="1476" t="e">
        <f t="shared" si="28"/>
        <v>#VALUE!</v>
      </c>
      <c r="EX646" s="1476"/>
      <c r="EY646" s="1476"/>
      <c r="EZ646" s="1476"/>
      <c r="FA646" s="1476"/>
    </row>
    <row r="647" spans="1:157" ht="12.95" customHeight="1">
      <c r="A647" s="22"/>
      <c r="B647" t="s">
        <v>317</v>
      </c>
      <c r="G647" s="1465">
        <v>8054941808</v>
      </c>
      <c r="H647" s="1465"/>
      <c r="I647" s="1465"/>
      <c r="J647" s="1465"/>
      <c r="K647" s="1465"/>
      <c r="L647" s="1465"/>
      <c r="O647" s="33" t="s">
        <v>207</v>
      </c>
      <c r="P647" s="1489"/>
      <c r="Q647" s="1489"/>
      <c r="R647" s="1489"/>
      <c r="S647" s="10"/>
      <c r="T647" s="22"/>
      <c r="U647" t="s">
        <v>317</v>
      </c>
      <c r="Z647" s="1718" t="s">
        <v>2688</v>
      </c>
      <c r="AA647" s="1465"/>
      <c r="AB647" s="1465"/>
      <c r="AC647" s="1465"/>
      <c r="AD647" s="1465"/>
      <c r="AE647" s="1465"/>
      <c r="AH647" s="33" t="s">
        <v>207</v>
      </c>
      <c r="AI647" s="1489"/>
      <c r="AJ647" s="1489"/>
      <c r="AK647" s="1489"/>
      <c r="AZ647" s="34"/>
      <c r="BA647" s="34"/>
      <c r="BB647" s="34"/>
      <c r="BC647" s="34"/>
      <c r="BD647" s="34"/>
      <c r="BE647" s="34"/>
      <c r="BF647" s="34"/>
      <c r="BG647" s="34"/>
      <c r="BH647" s="34"/>
      <c r="BI647" s="34"/>
      <c r="BJ647" s="34"/>
      <c r="BK647" s="34"/>
      <c r="BL647" s="34"/>
      <c r="BM647" s="34"/>
      <c r="BN647" s="1486">
        <f t="shared" si="30"/>
        <v>0</v>
      </c>
      <c r="BO647" s="1487"/>
      <c r="BP647" s="1487"/>
      <c r="BQ647" s="1487"/>
      <c r="BR647" s="1488"/>
      <c r="BS647" s="1485">
        <f t="shared" si="31"/>
        <v>0</v>
      </c>
      <c r="BT647" s="1485"/>
      <c r="BU647" s="1485"/>
      <c r="BV647" s="1485"/>
      <c r="BW647" s="1485"/>
      <c r="BX647" s="1485">
        <f t="shared" si="32"/>
        <v>0</v>
      </c>
      <c r="BY647" s="1485"/>
      <c r="BZ647" s="1485"/>
      <c r="CA647" s="1485"/>
      <c r="CB647" s="1485"/>
      <c r="CC647" s="1485">
        <f t="shared" si="33"/>
        <v>0</v>
      </c>
      <c r="CD647" s="1485"/>
      <c r="CE647" s="1485"/>
      <c r="CF647" s="1485"/>
      <c r="CG647" s="1485"/>
      <c r="CH647" s="1485">
        <f t="shared" si="34"/>
        <v>0</v>
      </c>
      <c r="CI647" s="1485"/>
      <c r="CJ647" s="1485"/>
      <c r="CK647" s="1485"/>
      <c r="CL647" s="1485"/>
      <c r="CM647" s="1485">
        <f t="shared" si="35"/>
        <v>0</v>
      </c>
      <c r="CN647" s="1485"/>
      <c r="CO647" s="1485"/>
      <c r="CP647" s="1485"/>
      <c r="CQ647" s="1485"/>
      <c r="CR647" s="6"/>
      <c r="CS647" s="1486">
        <f t="shared" si="36"/>
        <v>0</v>
      </c>
      <c r="CT647" s="1487"/>
      <c r="CU647" s="1487"/>
      <c r="CV647" s="1487"/>
      <c r="CW647" s="1488"/>
      <c r="CX647" s="1486">
        <f t="shared" si="37"/>
        <v>0</v>
      </c>
      <c r="CY647" s="1487"/>
      <c r="CZ647" s="1487"/>
      <c r="DA647" s="1487"/>
      <c r="DB647" s="1488"/>
      <c r="DC647" s="1486">
        <f t="shared" si="38"/>
        <v>0</v>
      </c>
      <c r="DD647" s="1487"/>
      <c r="DE647" s="1487"/>
      <c r="DF647" s="1487"/>
      <c r="DG647" s="1488"/>
      <c r="DH647" s="1486">
        <f t="shared" si="39"/>
        <v>0</v>
      </c>
      <c r="DI647" s="1487"/>
      <c r="DJ647" s="1487"/>
      <c r="DK647" s="1487"/>
      <c r="DL647" s="1488"/>
      <c r="DM647" s="1486">
        <f t="shared" si="40"/>
        <v>0</v>
      </c>
      <c r="DN647" s="1487"/>
      <c r="DO647" s="1487"/>
      <c r="DP647" s="1487"/>
      <c r="DQ647" s="1488"/>
      <c r="DR647" s="1486">
        <f t="shared" si="41"/>
        <v>0</v>
      </c>
      <c r="DS647" s="1487"/>
      <c r="DT647" s="1487"/>
      <c r="DU647" s="1487"/>
      <c r="DV647" s="1488"/>
      <c r="DX647" s="1476" t="e">
        <f t="shared" si="29"/>
        <v>#VALUE!</v>
      </c>
      <c r="DY647" s="1476"/>
      <c r="DZ647" s="1476"/>
      <c r="EA647" s="1476"/>
      <c r="EB647" s="1476"/>
      <c r="EC647" s="1476" t="e">
        <f t="shared" si="24"/>
        <v>#VALUE!</v>
      </c>
      <c r="ED647" s="1476"/>
      <c r="EE647" s="1476"/>
      <c r="EF647" s="1476"/>
      <c r="EG647" s="1476"/>
      <c r="EH647" s="1476">
        <f t="shared" si="25"/>
        <v>139.5625</v>
      </c>
      <c r="EI647" s="1476"/>
      <c r="EJ647" s="1476"/>
      <c r="EK647" s="1476"/>
      <c r="EL647" s="1476"/>
      <c r="EM647" s="1476" t="e">
        <f t="shared" si="26"/>
        <v>#VALUE!</v>
      </c>
      <c r="EN647" s="1476"/>
      <c r="EO647" s="1476"/>
      <c r="EP647" s="1476"/>
      <c r="EQ647" s="1476"/>
      <c r="ER647" s="1476" t="e">
        <f t="shared" si="27"/>
        <v>#VALUE!</v>
      </c>
      <c r="ES647" s="1476"/>
      <c r="ET647" s="1476"/>
      <c r="EU647" s="1476"/>
      <c r="EV647" s="1476"/>
      <c r="EW647" s="1476" t="e">
        <f t="shared" si="28"/>
        <v>#VALUE!</v>
      </c>
      <c r="EX647" s="1476"/>
      <c r="EY647" s="1476"/>
      <c r="EZ647" s="1476"/>
      <c r="FA647" s="1476"/>
    </row>
    <row r="648" spans="1:157" ht="12.95" customHeight="1">
      <c r="A648" s="22"/>
      <c r="B648" t="s">
        <v>18</v>
      </c>
      <c r="H648" s="1406" t="s">
        <v>2730</v>
      </c>
      <c r="I648" s="1406"/>
      <c r="J648" s="1406"/>
      <c r="K648" s="1406"/>
      <c r="L648" s="1406"/>
      <c r="M648" s="1406"/>
      <c r="N648" s="1406"/>
      <c r="O648" s="1406"/>
      <c r="P648" s="1406"/>
      <c r="Q648" s="1406"/>
      <c r="R648" s="1406"/>
      <c r="S648" s="8"/>
      <c r="T648" s="22"/>
      <c r="U648" t="s">
        <v>18</v>
      </c>
      <c r="AA648" s="1447" t="s">
        <v>2731</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BN648" s="1486">
        <f t="shared" si="30"/>
        <v>0</v>
      </c>
      <c r="BO648" s="1487"/>
      <c r="BP648" s="1487"/>
      <c r="BQ648" s="1487"/>
      <c r="BR648" s="1488"/>
      <c r="BS648" s="1485">
        <f t="shared" si="31"/>
        <v>0</v>
      </c>
      <c r="BT648" s="1485"/>
      <c r="BU648" s="1485"/>
      <c r="BV648" s="1485"/>
      <c r="BW648" s="1485"/>
      <c r="BX648" s="1485">
        <f t="shared" si="32"/>
        <v>0</v>
      </c>
      <c r="BY648" s="1485"/>
      <c r="BZ648" s="1485"/>
      <c r="CA648" s="1485"/>
      <c r="CB648" s="1485"/>
      <c r="CC648" s="1485">
        <f t="shared" si="33"/>
        <v>0</v>
      </c>
      <c r="CD648" s="1485"/>
      <c r="CE648" s="1485"/>
      <c r="CF648" s="1485"/>
      <c r="CG648" s="1485"/>
      <c r="CH648" s="1485">
        <f t="shared" si="34"/>
        <v>0</v>
      </c>
      <c r="CI648" s="1485"/>
      <c r="CJ648" s="1485"/>
      <c r="CK648" s="1485"/>
      <c r="CL648" s="1485"/>
      <c r="CM648" s="1485">
        <f t="shared" si="35"/>
        <v>0</v>
      </c>
      <c r="CN648" s="1485"/>
      <c r="CO648" s="1485"/>
      <c r="CP648" s="1485"/>
      <c r="CQ648" s="1485"/>
      <c r="CR648" s="6"/>
      <c r="CS648" s="1486">
        <f t="shared" si="36"/>
        <v>0</v>
      </c>
      <c r="CT648" s="1487"/>
      <c r="CU648" s="1487"/>
      <c r="CV648" s="1487"/>
      <c r="CW648" s="1488"/>
      <c r="CX648" s="1486">
        <f t="shared" si="37"/>
        <v>0</v>
      </c>
      <c r="CY648" s="1487"/>
      <c r="CZ648" s="1487"/>
      <c r="DA648" s="1487"/>
      <c r="DB648" s="1488"/>
      <c r="DC648" s="1486">
        <f t="shared" si="38"/>
        <v>0</v>
      </c>
      <c r="DD648" s="1487"/>
      <c r="DE648" s="1487"/>
      <c r="DF648" s="1487"/>
      <c r="DG648" s="1488"/>
      <c r="DH648" s="1486">
        <f t="shared" si="39"/>
        <v>0</v>
      </c>
      <c r="DI648" s="1487"/>
      <c r="DJ648" s="1487"/>
      <c r="DK648" s="1487"/>
      <c r="DL648" s="1488"/>
      <c r="DM648" s="1486">
        <f t="shared" si="40"/>
        <v>0</v>
      </c>
      <c r="DN648" s="1487"/>
      <c r="DO648" s="1487"/>
      <c r="DP648" s="1487"/>
      <c r="DQ648" s="1488"/>
      <c r="DR648" s="1486">
        <f t="shared" si="41"/>
        <v>0</v>
      </c>
      <c r="DS648" s="1487"/>
      <c r="DT648" s="1487"/>
      <c r="DU648" s="1487"/>
      <c r="DV648" s="1488"/>
      <c r="DX648" s="1476" t="e">
        <f t="shared" si="29"/>
        <v>#VALUE!</v>
      </c>
      <c r="DY648" s="1476"/>
      <c r="DZ648" s="1476"/>
      <c r="EA648" s="1476"/>
      <c r="EB648" s="1476"/>
      <c r="EC648" s="1476" t="e">
        <f t="shared" si="24"/>
        <v>#VALUE!</v>
      </c>
      <c r="ED648" s="1476"/>
      <c r="EE648" s="1476"/>
      <c r="EF648" s="1476"/>
      <c r="EG648" s="1476"/>
      <c r="EH648" s="1476" t="e">
        <f t="shared" si="25"/>
        <v>#VALUE!</v>
      </c>
      <c r="EI648" s="1476"/>
      <c r="EJ648" s="1476"/>
      <c r="EK648" s="1476"/>
      <c r="EL648" s="1476"/>
      <c r="EM648" s="1476">
        <f t="shared" si="26"/>
        <v>303.88888888888891</v>
      </c>
      <c r="EN648" s="1476"/>
      <c r="EO648" s="1476"/>
      <c r="EP648" s="1476"/>
      <c r="EQ648" s="1476"/>
      <c r="ER648" s="1476" t="e">
        <f t="shared" si="27"/>
        <v>#VALUE!</v>
      </c>
      <c r="ES648" s="1476"/>
      <c r="ET648" s="1476"/>
      <c r="EU648" s="1476"/>
      <c r="EV648" s="1476"/>
      <c r="EW648" s="1476" t="e">
        <f t="shared" si="28"/>
        <v>#VALUE!</v>
      </c>
      <c r="EX648" s="1476"/>
      <c r="EY648" s="1476"/>
      <c r="EZ648" s="1476"/>
      <c r="FA648" s="1476"/>
    </row>
    <row r="649" spans="1:157" ht="12.95" customHeight="1">
      <c r="A649" s="22"/>
      <c r="B649" t="s">
        <v>20</v>
      </c>
      <c r="N649" s="1405" t="s">
        <v>554</v>
      </c>
      <c r="O649" s="1405"/>
      <c r="T649" s="22"/>
      <c r="U649" t="s">
        <v>20</v>
      </c>
      <c r="AG649" s="1405" t="s">
        <v>554</v>
      </c>
      <c r="AH649" s="1405"/>
      <c r="AZ649" s="34"/>
      <c r="BA649" s="34"/>
      <c r="BB649" s="34"/>
      <c r="BC649" s="34"/>
      <c r="BD649" s="34"/>
      <c r="BE649" s="34"/>
      <c r="BF649" s="34"/>
      <c r="BG649" s="34"/>
      <c r="BH649" s="34"/>
      <c r="BI649" s="34"/>
      <c r="BJ649" s="34"/>
      <c r="BK649" s="34"/>
      <c r="BL649" s="34"/>
      <c r="BM649" s="34"/>
      <c r="BN649" s="1486">
        <f t="shared" si="30"/>
        <v>0</v>
      </c>
      <c r="BO649" s="1487"/>
      <c r="BP649" s="1487"/>
      <c r="BQ649" s="1487"/>
      <c r="BR649" s="1488"/>
      <c r="BS649" s="1485">
        <f t="shared" si="31"/>
        <v>0</v>
      </c>
      <c r="BT649" s="1485"/>
      <c r="BU649" s="1485"/>
      <c r="BV649" s="1485"/>
      <c r="BW649" s="1485"/>
      <c r="BX649" s="1485">
        <f t="shared" si="32"/>
        <v>0</v>
      </c>
      <c r="BY649" s="1485"/>
      <c r="BZ649" s="1485"/>
      <c r="CA649" s="1485"/>
      <c r="CB649" s="1485"/>
      <c r="CC649" s="1485">
        <f t="shared" si="33"/>
        <v>0</v>
      </c>
      <c r="CD649" s="1485"/>
      <c r="CE649" s="1485"/>
      <c r="CF649" s="1485"/>
      <c r="CG649" s="1485"/>
      <c r="CH649" s="1485">
        <f t="shared" si="34"/>
        <v>0</v>
      </c>
      <c r="CI649" s="1485"/>
      <c r="CJ649" s="1485"/>
      <c r="CK649" s="1485"/>
      <c r="CL649" s="1485"/>
      <c r="CM649" s="1485">
        <f t="shared" si="35"/>
        <v>0</v>
      </c>
      <c r="CN649" s="1485"/>
      <c r="CO649" s="1485"/>
      <c r="CP649" s="1485"/>
      <c r="CQ649" s="1485"/>
      <c r="CR649" s="6"/>
      <c r="CS649" s="1486">
        <f t="shared" si="36"/>
        <v>0</v>
      </c>
      <c r="CT649" s="1487"/>
      <c r="CU649" s="1487"/>
      <c r="CV649" s="1487"/>
      <c r="CW649" s="1488"/>
      <c r="CX649" s="1486">
        <f t="shared" si="37"/>
        <v>0</v>
      </c>
      <c r="CY649" s="1487"/>
      <c r="CZ649" s="1487"/>
      <c r="DA649" s="1487"/>
      <c r="DB649" s="1488"/>
      <c r="DC649" s="1486">
        <f t="shared" si="38"/>
        <v>0</v>
      </c>
      <c r="DD649" s="1487"/>
      <c r="DE649" s="1487"/>
      <c r="DF649" s="1487"/>
      <c r="DG649" s="1488"/>
      <c r="DH649" s="1486">
        <f t="shared" si="39"/>
        <v>0</v>
      </c>
      <c r="DI649" s="1487"/>
      <c r="DJ649" s="1487"/>
      <c r="DK649" s="1487"/>
      <c r="DL649" s="1488"/>
      <c r="DM649" s="1486">
        <f t="shared" si="40"/>
        <v>0</v>
      </c>
      <c r="DN649" s="1487"/>
      <c r="DO649" s="1487"/>
      <c r="DP649" s="1487"/>
      <c r="DQ649" s="1488"/>
      <c r="DR649" s="1486">
        <f t="shared" si="41"/>
        <v>0</v>
      </c>
      <c r="DS649" s="1487"/>
      <c r="DT649" s="1487"/>
      <c r="DU649" s="1487"/>
      <c r="DV649" s="1488"/>
      <c r="DX649" s="1476" t="e">
        <f t="shared" si="29"/>
        <v>#VALUE!</v>
      </c>
      <c r="DY649" s="1476"/>
      <c r="DZ649" s="1476"/>
      <c r="EA649" s="1476"/>
      <c r="EB649" s="1476"/>
      <c r="EC649" s="1476" t="e">
        <f t="shared" si="24"/>
        <v>#VALUE!</v>
      </c>
      <c r="ED649" s="1476"/>
      <c r="EE649" s="1476"/>
      <c r="EF649" s="1476"/>
      <c r="EG649" s="1476"/>
      <c r="EH649" s="1476" t="e">
        <f t="shared" si="25"/>
        <v>#VALUE!</v>
      </c>
      <c r="EI649" s="1476"/>
      <c r="EJ649" s="1476"/>
      <c r="EK649" s="1476"/>
      <c r="EL649" s="1476"/>
      <c r="EM649" s="1476" t="e">
        <f t="shared" si="26"/>
        <v>#VALUE!</v>
      </c>
      <c r="EN649" s="1476"/>
      <c r="EO649" s="1476"/>
      <c r="EP649" s="1476"/>
      <c r="EQ649" s="1476"/>
      <c r="ER649" s="1476">
        <f t="shared" si="27"/>
        <v>603.5</v>
      </c>
      <c r="ES649" s="1476"/>
      <c r="ET649" s="1476"/>
      <c r="EU649" s="1476"/>
      <c r="EV649" s="1476"/>
      <c r="EW649" s="1476" t="e">
        <f t="shared" si="28"/>
        <v>#VALUE!</v>
      </c>
      <c r="EX649" s="1476"/>
      <c r="EY649" s="1476"/>
      <c r="EZ649" s="1476"/>
      <c r="FA649" s="1476"/>
    </row>
    <row r="650" spans="1:157" ht="12.95" customHeight="1">
      <c r="A650" s="22"/>
      <c r="T650" s="22"/>
      <c r="AZ650" s="34"/>
      <c r="BA650" s="34"/>
      <c r="BB650" s="34"/>
      <c r="BC650" s="34"/>
      <c r="BD650" s="34"/>
      <c r="BE650" s="34"/>
      <c r="BF650" s="34"/>
      <c r="BG650" s="34"/>
      <c r="BH650" s="34"/>
      <c r="BI650" s="34"/>
      <c r="BJ650" s="34"/>
      <c r="BK650" s="34"/>
      <c r="BL650" s="34"/>
      <c r="BM650" s="34"/>
      <c r="BN650" s="1486">
        <f t="shared" si="30"/>
        <v>0</v>
      </c>
      <c r="BO650" s="1487"/>
      <c r="BP650" s="1487"/>
      <c r="BQ650" s="1487"/>
      <c r="BR650" s="1488"/>
      <c r="BS650" s="1485">
        <f t="shared" si="31"/>
        <v>0</v>
      </c>
      <c r="BT650" s="1485"/>
      <c r="BU650" s="1485"/>
      <c r="BV650" s="1485"/>
      <c r="BW650" s="1485"/>
      <c r="BX650" s="1485">
        <f t="shared" si="32"/>
        <v>0</v>
      </c>
      <c r="BY650" s="1485"/>
      <c r="BZ650" s="1485"/>
      <c r="CA650" s="1485"/>
      <c r="CB650" s="1485"/>
      <c r="CC650" s="1485">
        <f t="shared" si="33"/>
        <v>0</v>
      </c>
      <c r="CD650" s="1485"/>
      <c r="CE650" s="1485"/>
      <c r="CF650" s="1485"/>
      <c r="CG650" s="1485"/>
      <c r="CH650" s="1485">
        <f t="shared" si="34"/>
        <v>0</v>
      </c>
      <c r="CI650" s="1485"/>
      <c r="CJ650" s="1485"/>
      <c r="CK650" s="1485"/>
      <c r="CL650" s="1485"/>
      <c r="CM650" s="1485">
        <f t="shared" si="35"/>
        <v>0</v>
      </c>
      <c r="CN650" s="1485"/>
      <c r="CO650" s="1485"/>
      <c r="CP650" s="1485"/>
      <c r="CQ650" s="1485"/>
      <c r="CR650" s="6"/>
      <c r="CS650" s="1486">
        <f t="shared" si="36"/>
        <v>0</v>
      </c>
      <c r="CT650" s="1487"/>
      <c r="CU650" s="1487"/>
      <c r="CV650" s="1487"/>
      <c r="CW650" s="1488"/>
      <c r="CX650" s="1486">
        <f t="shared" si="37"/>
        <v>0</v>
      </c>
      <c r="CY650" s="1487"/>
      <c r="CZ650" s="1487"/>
      <c r="DA650" s="1487"/>
      <c r="DB650" s="1488"/>
      <c r="DC650" s="1486">
        <f t="shared" si="38"/>
        <v>0</v>
      </c>
      <c r="DD650" s="1487"/>
      <c r="DE650" s="1487"/>
      <c r="DF650" s="1487"/>
      <c r="DG650" s="1488"/>
      <c r="DH650" s="1486">
        <f t="shared" si="39"/>
        <v>0</v>
      </c>
      <c r="DI650" s="1487"/>
      <c r="DJ650" s="1487"/>
      <c r="DK650" s="1487"/>
      <c r="DL650" s="1488"/>
      <c r="DM650" s="1486">
        <f t="shared" si="40"/>
        <v>0</v>
      </c>
      <c r="DN650" s="1487"/>
      <c r="DO650" s="1487"/>
      <c r="DP650" s="1487"/>
      <c r="DQ650" s="1488"/>
      <c r="DR650" s="1486">
        <f t="shared" si="41"/>
        <v>0</v>
      </c>
      <c r="DS650" s="1487"/>
      <c r="DT650" s="1487"/>
      <c r="DU650" s="1487"/>
      <c r="DV650" s="1488"/>
      <c r="DX650" s="1476" t="e">
        <f t="shared" si="29"/>
        <v>#VALUE!</v>
      </c>
      <c r="DY650" s="1476"/>
      <c r="DZ650" s="1476"/>
      <c r="EA650" s="1476"/>
      <c r="EB650" s="1476"/>
      <c r="EC650" s="1476">
        <f t="shared" si="24"/>
        <v>214.89743589743591</v>
      </c>
      <c r="ED650" s="1476"/>
      <c r="EE650" s="1476"/>
      <c r="EF650" s="1476"/>
      <c r="EG650" s="1476"/>
      <c r="EH650" s="1476" t="e">
        <f t="shared" si="25"/>
        <v>#VALUE!</v>
      </c>
      <c r="EI650" s="1476"/>
      <c r="EJ650" s="1476"/>
      <c r="EK650" s="1476"/>
      <c r="EL650" s="1476"/>
      <c r="EM650" s="1476" t="e">
        <f t="shared" si="26"/>
        <v>#VALUE!</v>
      </c>
      <c r="EN650" s="1476"/>
      <c r="EO650" s="1476"/>
      <c r="EP650" s="1476"/>
      <c r="EQ650" s="1476"/>
      <c r="ER650" s="1476" t="e">
        <f t="shared" si="27"/>
        <v>#VALUE!</v>
      </c>
      <c r="ES650" s="1476"/>
      <c r="ET650" s="1476"/>
      <c r="EU650" s="1476"/>
      <c r="EV650" s="1476"/>
      <c r="EW650" s="1476" t="e">
        <f t="shared" si="28"/>
        <v>#VALUE!</v>
      </c>
      <c r="EX650" s="1476"/>
      <c r="EY650" s="1476"/>
      <c r="EZ650" s="1476"/>
      <c r="FA650" s="1476"/>
    </row>
    <row r="651" spans="1:157" ht="12.95" customHeight="1">
      <c r="A651" s="55" t="s">
        <v>119</v>
      </c>
      <c r="B651" t="s">
        <v>472</v>
      </c>
      <c r="G651" s="1451" t="str">
        <f>C629</f>
        <v>Deferred Dev Fee</v>
      </c>
      <c r="H651" s="1451"/>
      <c r="I651" s="1451"/>
      <c r="J651" s="1451"/>
      <c r="K651" s="1451"/>
      <c r="L651" s="1451"/>
      <c r="M651" s="1451"/>
      <c r="N651" s="1451"/>
      <c r="O651" s="1451"/>
      <c r="P651" s="1451"/>
      <c r="Q651" s="1451"/>
      <c r="R651" s="1451"/>
      <c r="T651" s="55" t="s">
        <v>590</v>
      </c>
      <c r="U651" t="s">
        <v>472</v>
      </c>
      <c r="Z651" s="1451">
        <f>C630</f>
        <v>0</v>
      </c>
      <c r="AA651" s="1451"/>
      <c r="AB651" s="1451"/>
      <c r="AC651" s="1451"/>
      <c r="AD651" s="1451"/>
      <c r="AE651" s="1451"/>
      <c r="AF651" s="1451"/>
      <c r="AG651" s="1451"/>
      <c r="AH651" s="1451"/>
      <c r="AI651" s="1451"/>
      <c r="AJ651" s="1451"/>
      <c r="AK651" s="1451"/>
      <c r="AZ651" s="34"/>
      <c r="BA651" s="34"/>
      <c r="BB651" s="34"/>
      <c r="BC651" s="34"/>
      <c r="BD651" s="34"/>
      <c r="BE651" s="34"/>
      <c r="BF651" s="34"/>
      <c r="BG651" s="34"/>
      <c r="BH651" s="34"/>
      <c r="BI651" s="34"/>
      <c r="BJ651" s="34"/>
      <c r="BK651" s="34"/>
      <c r="BL651" s="34"/>
      <c r="BM651" s="34"/>
      <c r="BN651" s="1486">
        <f t="shared" si="30"/>
        <v>0</v>
      </c>
      <c r="BO651" s="1487"/>
      <c r="BP651" s="1487"/>
      <c r="BQ651" s="1487"/>
      <c r="BR651" s="1488"/>
      <c r="BS651" s="1485">
        <f t="shared" si="31"/>
        <v>0</v>
      </c>
      <c r="BT651" s="1485"/>
      <c r="BU651" s="1485"/>
      <c r="BV651" s="1485"/>
      <c r="BW651" s="1485"/>
      <c r="BX651" s="1485">
        <f t="shared" si="32"/>
        <v>0</v>
      </c>
      <c r="BY651" s="1485"/>
      <c r="BZ651" s="1485"/>
      <c r="CA651" s="1485"/>
      <c r="CB651" s="1485"/>
      <c r="CC651" s="1485">
        <f t="shared" si="33"/>
        <v>0</v>
      </c>
      <c r="CD651" s="1485"/>
      <c r="CE651" s="1485"/>
      <c r="CF651" s="1485"/>
      <c r="CG651" s="1485"/>
      <c r="CH651" s="1485">
        <f t="shared" si="34"/>
        <v>0</v>
      </c>
      <c r="CI651" s="1485"/>
      <c r="CJ651" s="1485"/>
      <c r="CK651" s="1485"/>
      <c r="CL651" s="1485"/>
      <c r="CM651" s="1485">
        <f t="shared" si="35"/>
        <v>0</v>
      </c>
      <c r="CN651" s="1485"/>
      <c r="CO651" s="1485"/>
      <c r="CP651" s="1485"/>
      <c r="CQ651" s="1485"/>
      <c r="CR651" s="6"/>
      <c r="CS651" s="1486">
        <f t="shared" si="36"/>
        <v>0</v>
      </c>
      <c r="CT651" s="1487"/>
      <c r="CU651" s="1487"/>
      <c r="CV651" s="1487"/>
      <c r="CW651" s="1488"/>
      <c r="CX651" s="1486">
        <f t="shared" si="37"/>
        <v>0</v>
      </c>
      <c r="CY651" s="1487"/>
      <c r="CZ651" s="1487"/>
      <c r="DA651" s="1487"/>
      <c r="DB651" s="1488"/>
      <c r="DC651" s="1486">
        <f t="shared" si="38"/>
        <v>0</v>
      </c>
      <c r="DD651" s="1487"/>
      <c r="DE651" s="1487"/>
      <c r="DF651" s="1487"/>
      <c r="DG651" s="1488"/>
      <c r="DH651" s="1486">
        <f t="shared" si="39"/>
        <v>0</v>
      </c>
      <c r="DI651" s="1487"/>
      <c r="DJ651" s="1487"/>
      <c r="DK651" s="1487"/>
      <c r="DL651" s="1488"/>
      <c r="DM651" s="1486">
        <f t="shared" si="40"/>
        <v>0</v>
      </c>
      <c r="DN651" s="1487"/>
      <c r="DO651" s="1487"/>
      <c r="DP651" s="1487"/>
      <c r="DQ651" s="1488"/>
      <c r="DR651" s="1486">
        <f t="shared" si="41"/>
        <v>0</v>
      </c>
      <c r="DS651" s="1487"/>
      <c r="DT651" s="1487"/>
      <c r="DU651" s="1487"/>
      <c r="DV651" s="1488"/>
      <c r="DX651" s="1476" t="e">
        <f t="shared" si="29"/>
        <v>#VALUE!</v>
      </c>
      <c r="DY651" s="1476"/>
      <c r="DZ651" s="1476"/>
      <c r="EA651" s="1476"/>
      <c r="EB651" s="1476"/>
      <c r="EC651" s="1476" t="e">
        <f t="shared" si="24"/>
        <v>#VALUE!</v>
      </c>
      <c r="ED651" s="1476"/>
      <c r="EE651" s="1476"/>
      <c r="EF651" s="1476"/>
      <c r="EG651" s="1476"/>
      <c r="EH651" s="1476">
        <f t="shared" si="25"/>
        <v>243.125</v>
      </c>
      <c r="EI651" s="1476"/>
      <c r="EJ651" s="1476"/>
      <c r="EK651" s="1476"/>
      <c r="EL651" s="1476"/>
      <c r="EM651" s="1476" t="e">
        <f t="shared" si="26"/>
        <v>#VALUE!</v>
      </c>
      <c r="EN651" s="1476"/>
      <c r="EO651" s="1476"/>
      <c r="EP651" s="1476"/>
      <c r="EQ651" s="1476"/>
      <c r="ER651" s="1476" t="e">
        <f t="shared" si="27"/>
        <v>#VALUE!</v>
      </c>
      <c r="ES651" s="1476"/>
      <c r="ET651" s="1476"/>
      <c r="EU651" s="1476"/>
      <c r="EV651" s="1476"/>
      <c r="EW651" s="1476" t="e">
        <f t="shared" si="28"/>
        <v>#VALUE!</v>
      </c>
      <c r="EX651" s="1476"/>
      <c r="EY651" s="1476"/>
      <c r="EZ651" s="1476"/>
      <c r="FA651" s="1476"/>
    </row>
    <row r="652" spans="1:157" ht="12.95" customHeight="1">
      <c r="A652" s="22"/>
      <c r="B652" t="s">
        <v>85</v>
      </c>
      <c r="G652" s="1406" t="s">
        <v>2726</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BN652" s="1486">
        <f t="shared" si="30"/>
        <v>0</v>
      </c>
      <c r="BO652" s="1487"/>
      <c r="BP652" s="1487"/>
      <c r="BQ652" s="1487"/>
      <c r="BR652" s="1488"/>
      <c r="BS652" s="1485">
        <f t="shared" si="31"/>
        <v>0</v>
      </c>
      <c r="BT652" s="1485"/>
      <c r="BU652" s="1485"/>
      <c r="BV652" s="1485"/>
      <c r="BW652" s="1485"/>
      <c r="BX652" s="1485">
        <f t="shared" si="32"/>
        <v>0</v>
      </c>
      <c r="BY652" s="1485"/>
      <c r="BZ652" s="1485"/>
      <c r="CA652" s="1485"/>
      <c r="CB652" s="1485"/>
      <c r="CC652" s="1485">
        <f t="shared" si="33"/>
        <v>0</v>
      </c>
      <c r="CD652" s="1485"/>
      <c r="CE652" s="1485"/>
      <c r="CF652" s="1485"/>
      <c r="CG652" s="1485"/>
      <c r="CH652" s="1485">
        <f t="shared" si="34"/>
        <v>0</v>
      </c>
      <c r="CI652" s="1485"/>
      <c r="CJ652" s="1485"/>
      <c r="CK652" s="1485"/>
      <c r="CL652" s="1485"/>
      <c r="CM652" s="1485">
        <f t="shared" si="35"/>
        <v>0</v>
      </c>
      <c r="CN652" s="1485"/>
      <c r="CO652" s="1485"/>
      <c r="CP652" s="1485"/>
      <c r="CQ652" s="1485"/>
      <c r="CR652" s="6"/>
      <c r="CS652" s="1486">
        <f t="shared" si="36"/>
        <v>0</v>
      </c>
      <c r="CT652" s="1487"/>
      <c r="CU652" s="1487"/>
      <c r="CV652" s="1487"/>
      <c r="CW652" s="1488"/>
      <c r="CX652" s="1486">
        <f t="shared" si="37"/>
        <v>0</v>
      </c>
      <c r="CY652" s="1487"/>
      <c r="CZ652" s="1487"/>
      <c r="DA652" s="1487"/>
      <c r="DB652" s="1488"/>
      <c r="DC652" s="1486">
        <f t="shared" si="38"/>
        <v>0</v>
      </c>
      <c r="DD652" s="1487"/>
      <c r="DE652" s="1487"/>
      <c r="DF652" s="1487"/>
      <c r="DG652" s="1488"/>
      <c r="DH652" s="1486">
        <f t="shared" si="39"/>
        <v>0</v>
      </c>
      <c r="DI652" s="1487"/>
      <c r="DJ652" s="1487"/>
      <c r="DK652" s="1487"/>
      <c r="DL652" s="1488"/>
      <c r="DM652" s="1486">
        <f t="shared" si="40"/>
        <v>0</v>
      </c>
      <c r="DN652" s="1487"/>
      <c r="DO652" s="1487"/>
      <c r="DP652" s="1487"/>
      <c r="DQ652" s="1488"/>
      <c r="DR652" s="1486">
        <f t="shared" si="41"/>
        <v>0</v>
      </c>
      <c r="DS652" s="1487"/>
      <c r="DT652" s="1487"/>
      <c r="DU652" s="1487"/>
      <c r="DV652" s="1488"/>
      <c r="DX652" s="1476" t="e">
        <f t="shared" si="29"/>
        <v>#VALUE!</v>
      </c>
      <c r="DY652" s="1476"/>
      <c r="DZ652" s="1476"/>
      <c r="EA652" s="1476"/>
      <c r="EB652" s="1476"/>
      <c r="EC652" s="1476" t="e">
        <f t="shared" si="24"/>
        <v>#VALUE!</v>
      </c>
      <c r="ED652" s="1476"/>
      <c r="EE652" s="1476"/>
      <c r="EF652" s="1476"/>
      <c r="EG652" s="1476"/>
      <c r="EH652" s="1476" t="e">
        <f t="shared" si="25"/>
        <v>#VALUE!</v>
      </c>
      <c r="EI652" s="1476"/>
      <c r="EJ652" s="1476"/>
      <c r="EK652" s="1476"/>
      <c r="EL652" s="1476"/>
      <c r="EM652" s="1476">
        <f t="shared" si="26"/>
        <v>334.25</v>
      </c>
      <c r="EN652" s="1476"/>
      <c r="EO652" s="1476"/>
      <c r="EP652" s="1476"/>
      <c r="EQ652" s="1476"/>
      <c r="ER652" s="1476" t="e">
        <f t="shared" si="27"/>
        <v>#VALUE!</v>
      </c>
      <c r="ES652" s="1476"/>
      <c r="ET652" s="1476"/>
      <c r="EU652" s="1476"/>
      <c r="EV652" s="1476"/>
      <c r="EW652" s="1476" t="e">
        <f t="shared" si="28"/>
        <v>#VALUE!</v>
      </c>
      <c r="EX652" s="1476"/>
      <c r="EY652" s="1476"/>
      <c r="EZ652" s="1476"/>
      <c r="FA652" s="1476"/>
    </row>
    <row r="653" spans="1:157" ht="12.95" customHeight="1">
      <c r="A653" s="22"/>
      <c r="B653" t="s">
        <v>589</v>
      </c>
      <c r="G653" s="1407" t="s">
        <v>2667</v>
      </c>
      <c r="H653" s="1407"/>
      <c r="I653" s="1407"/>
      <c r="J653" s="1407"/>
      <c r="K653" s="1407"/>
      <c r="L653" s="1407"/>
      <c r="M653" s="1407"/>
      <c r="N653" s="1407"/>
      <c r="O653" s="1407"/>
      <c r="P653" s="1407"/>
      <c r="Q653" s="1407"/>
      <c r="R653" s="1407"/>
      <c r="T653" s="22"/>
      <c r="U653" t="s">
        <v>589</v>
      </c>
      <c r="Z653" s="1407"/>
      <c r="AA653" s="1407"/>
      <c r="AB653" s="1407"/>
      <c r="AC653" s="1407"/>
      <c r="AD653" s="1407"/>
      <c r="AE653" s="1407"/>
      <c r="AF653" s="1407"/>
      <c r="AG653" s="1407"/>
      <c r="AH653" s="1407"/>
      <c r="AI653" s="1407"/>
      <c r="AJ653" s="1407"/>
      <c r="AK653" s="1407"/>
      <c r="AZ653" s="34"/>
      <c r="BA653" s="34"/>
      <c r="BB653" s="34"/>
      <c r="BC653" s="34"/>
      <c r="BD653" s="34"/>
      <c r="BE653" s="34"/>
      <c r="BF653" s="34"/>
      <c r="BG653" s="34"/>
      <c r="BH653" s="34"/>
      <c r="BI653" s="34"/>
      <c r="BJ653" s="34"/>
      <c r="BK653" s="34"/>
      <c r="BL653" s="34"/>
      <c r="BM653" s="34"/>
      <c r="BN653" s="1486">
        <f t="shared" si="30"/>
        <v>0</v>
      </c>
      <c r="BO653" s="1487"/>
      <c r="BP653" s="1487"/>
      <c r="BQ653" s="1487"/>
      <c r="BR653" s="1488"/>
      <c r="BS653" s="1485">
        <f t="shared" si="31"/>
        <v>0</v>
      </c>
      <c r="BT653" s="1485"/>
      <c r="BU653" s="1485"/>
      <c r="BV653" s="1485"/>
      <c r="BW653" s="1485"/>
      <c r="BX653" s="1485">
        <f t="shared" si="32"/>
        <v>0</v>
      </c>
      <c r="BY653" s="1485"/>
      <c r="BZ653" s="1485"/>
      <c r="CA653" s="1485"/>
      <c r="CB653" s="1485"/>
      <c r="CC653" s="1485">
        <f t="shared" si="33"/>
        <v>0</v>
      </c>
      <c r="CD653" s="1485"/>
      <c r="CE653" s="1485"/>
      <c r="CF653" s="1485"/>
      <c r="CG653" s="1485"/>
      <c r="CH653" s="1485">
        <f t="shared" si="34"/>
        <v>0</v>
      </c>
      <c r="CI653" s="1485"/>
      <c r="CJ653" s="1485"/>
      <c r="CK653" s="1485"/>
      <c r="CL653" s="1485"/>
      <c r="CM653" s="1485">
        <f t="shared" si="35"/>
        <v>0</v>
      </c>
      <c r="CN653" s="1485"/>
      <c r="CO653" s="1485"/>
      <c r="CP653" s="1485"/>
      <c r="CQ653" s="1485"/>
      <c r="CR653" s="6"/>
      <c r="CS653" s="1486">
        <f t="shared" si="36"/>
        <v>0</v>
      </c>
      <c r="CT653" s="1487"/>
      <c r="CU653" s="1487"/>
      <c r="CV653" s="1487"/>
      <c r="CW653" s="1488"/>
      <c r="CX653" s="1486">
        <f t="shared" si="37"/>
        <v>0</v>
      </c>
      <c r="CY653" s="1487"/>
      <c r="CZ653" s="1487"/>
      <c r="DA653" s="1487"/>
      <c r="DB653" s="1488"/>
      <c r="DC653" s="1486">
        <f t="shared" si="38"/>
        <v>0</v>
      </c>
      <c r="DD653" s="1487"/>
      <c r="DE653" s="1487"/>
      <c r="DF653" s="1487"/>
      <c r="DG653" s="1488"/>
      <c r="DH653" s="1486">
        <f t="shared" si="39"/>
        <v>0</v>
      </c>
      <c r="DI653" s="1487"/>
      <c r="DJ653" s="1487"/>
      <c r="DK653" s="1487"/>
      <c r="DL653" s="1488"/>
      <c r="DM653" s="1486">
        <f t="shared" si="40"/>
        <v>0</v>
      </c>
      <c r="DN653" s="1487"/>
      <c r="DO653" s="1487"/>
      <c r="DP653" s="1487"/>
      <c r="DQ653" s="1488"/>
      <c r="DR653" s="1486">
        <f t="shared" si="41"/>
        <v>0</v>
      </c>
      <c r="DS653" s="1487"/>
      <c r="DT653" s="1487"/>
      <c r="DU653" s="1487"/>
      <c r="DV653" s="1488"/>
      <c r="DX653" s="1476" t="e">
        <f t="shared" si="29"/>
        <v>#VALUE!</v>
      </c>
      <c r="DY653" s="1476"/>
      <c r="DZ653" s="1476"/>
      <c r="EA653" s="1476"/>
      <c r="EB653" s="1476"/>
      <c r="EC653" s="1476">
        <f t="shared" si="24"/>
        <v>119.07692307692307</v>
      </c>
      <c r="ED653" s="1476"/>
      <c r="EE653" s="1476"/>
      <c r="EF653" s="1476"/>
      <c r="EG653" s="1476"/>
      <c r="EH653" s="1476" t="e">
        <f t="shared" si="25"/>
        <v>#VALUE!</v>
      </c>
      <c r="EI653" s="1476"/>
      <c r="EJ653" s="1476"/>
      <c r="EK653" s="1476"/>
      <c r="EL653" s="1476"/>
      <c r="EM653" s="1476" t="e">
        <f t="shared" si="26"/>
        <v>#VALUE!</v>
      </c>
      <c r="EN653" s="1476"/>
      <c r="EO653" s="1476"/>
      <c r="EP653" s="1476"/>
      <c r="EQ653" s="1476"/>
      <c r="ER653" s="1476" t="e">
        <f t="shared" si="27"/>
        <v>#VALUE!</v>
      </c>
      <c r="ES653" s="1476"/>
      <c r="ET653" s="1476"/>
      <c r="EU653" s="1476"/>
      <c r="EV653" s="1476"/>
      <c r="EW653" s="1476" t="e">
        <f t="shared" si="28"/>
        <v>#VALUE!</v>
      </c>
      <c r="EX653" s="1476"/>
      <c r="EY653" s="1476"/>
      <c r="EZ653" s="1476"/>
      <c r="FA653" s="1476"/>
    </row>
    <row r="654" spans="1:157" ht="12.95" customHeight="1">
      <c r="A654" s="22"/>
      <c r="B654" t="s">
        <v>17</v>
      </c>
      <c r="G654" s="1407" t="s">
        <v>2646</v>
      </c>
      <c r="H654" s="1407"/>
      <c r="I654" s="1407"/>
      <c r="J654" s="1407"/>
      <c r="K654" s="1407"/>
      <c r="L654" s="1407"/>
      <c r="M654" s="1407"/>
      <c r="N654" s="1407"/>
      <c r="O654" s="1407"/>
      <c r="P654" s="1407"/>
      <c r="Q654" s="1407"/>
      <c r="R654" s="1407"/>
      <c r="T654" s="22"/>
      <c r="U654" t="s">
        <v>17</v>
      </c>
      <c r="Z654" s="1407"/>
      <c r="AA654" s="1407"/>
      <c r="AB654" s="1407"/>
      <c r="AC654" s="1407"/>
      <c r="AD654" s="1407"/>
      <c r="AE654" s="1407"/>
      <c r="AF654" s="1407"/>
      <c r="AG654" s="1407"/>
      <c r="AH654" s="1407"/>
      <c r="AI654" s="1407"/>
      <c r="AJ654" s="1407"/>
      <c r="AK654" s="1407"/>
      <c r="AZ654" s="34"/>
      <c r="BA654" s="34"/>
      <c r="BB654" s="34"/>
      <c r="BC654" s="34"/>
      <c r="BD654" s="34"/>
      <c r="BE654" s="34"/>
      <c r="BF654" s="34"/>
      <c r="BG654" s="34"/>
      <c r="BH654" s="34"/>
      <c r="BI654" s="34"/>
      <c r="BJ654" s="34"/>
      <c r="BK654" s="34"/>
      <c r="BL654" s="34"/>
      <c r="BM654" s="34"/>
      <c r="BN654" s="1486">
        <f t="shared" si="30"/>
        <v>0</v>
      </c>
      <c r="BO654" s="1487"/>
      <c r="BP654" s="1487"/>
      <c r="BQ654" s="1487"/>
      <c r="BR654" s="1488"/>
      <c r="BS654" s="1485">
        <f t="shared" si="31"/>
        <v>0</v>
      </c>
      <c r="BT654" s="1485"/>
      <c r="BU654" s="1485"/>
      <c r="BV654" s="1485"/>
      <c r="BW654" s="1485"/>
      <c r="BX654" s="1485">
        <f t="shared" si="32"/>
        <v>0</v>
      </c>
      <c r="BY654" s="1485"/>
      <c r="BZ654" s="1485"/>
      <c r="CA654" s="1485"/>
      <c r="CB654" s="1485"/>
      <c r="CC654" s="1485">
        <f t="shared" si="33"/>
        <v>0</v>
      </c>
      <c r="CD654" s="1485"/>
      <c r="CE654" s="1485"/>
      <c r="CF654" s="1485"/>
      <c r="CG654" s="1485"/>
      <c r="CH654" s="1485">
        <f t="shared" si="34"/>
        <v>0</v>
      </c>
      <c r="CI654" s="1485"/>
      <c r="CJ654" s="1485"/>
      <c r="CK654" s="1485"/>
      <c r="CL654" s="1485"/>
      <c r="CM654" s="1485">
        <f t="shared" si="35"/>
        <v>0</v>
      </c>
      <c r="CN654" s="1485"/>
      <c r="CO654" s="1485"/>
      <c r="CP654" s="1485"/>
      <c r="CQ654" s="1485"/>
      <c r="CR654" s="6"/>
      <c r="CS654" s="1486">
        <f t="shared" si="36"/>
        <v>0</v>
      </c>
      <c r="CT654" s="1487"/>
      <c r="CU654" s="1487"/>
      <c r="CV654" s="1487"/>
      <c r="CW654" s="1488"/>
      <c r="CX654" s="1486">
        <f t="shared" si="37"/>
        <v>0</v>
      </c>
      <c r="CY654" s="1487"/>
      <c r="CZ654" s="1487"/>
      <c r="DA654" s="1487"/>
      <c r="DB654" s="1488"/>
      <c r="DC654" s="1486">
        <f t="shared" si="38"/>
        <v>0</v>
      </c>
      <c r="DD654" s="1487"/>
      <c r="DE654" s="1487"/>
      <c r="DF654" s="1487"/>
      <c r="DG654" s="1488"/>
      <c r="DH654" s="1486">
        <f t="shared" si="39"/>
        <v>0</v>
      </c>
      <c r="DI654" s="1487"/>
      <c r="DJ654" s="1487"/>
      <c r="DK654" s="1487"/>
      <c r="DL654" s="1488"/>
      <c r="DM654" s="1486">
        <f t="shared" si="40"/>
        <v>0</v>
      </c>
      <c r="DN654" s="1487"/>
      <c r="DO654" s="1487"/>
      <c r="DP654" s="1487"/>
      <c r="DQ654" s="1488"/>
      <c r="DR654" s="1486">
        <f t="shared" si="41"/>
        <v>0</v>
      </c>
      <c r="DS654" s="1487"/>
      <c r="DT654" s="1487"/>
      <c r="DU654" s="1487"/>
      <c r="DV654" s="1488"/>
      <c r="DX654" s="1476" t="e">
        <f t="shared" si="29"/>
        <v>#VALUE!</v>
      </c>
      <c r="DY654" s="1476"/>
      <c r="DZ654" s="1476"/>
      <c r="EA654" s="1476"/>
      <c r="EB654" s="1476"/>
      <c r="EC654" s="1476" t="e">
        <f t="shared" si="24"/>
        <v>#VALUE!</v>
      </c>
      <c r="ED654" s="1476"/>
      <c r="EE654" s="1476"/>
      <c r="EF654" s="1476"/>
      <c r="EG654" s="1476"/>
      <c r="EH654" s="1476">
        <f t="shared" si="25"/>
        <v>229.5</v>
      </c>
      <c r="EI654" s="1476"/>
      <c r="EJ654" s="1476"/>
      <c r="EK654" s="1476"/>
      <c r="EL654" s="1476"/>
      <c r="EM654" s="1476" t="e">
        <f t="shared" si="26"/>
        <v>#VALUE!</v>
      </c>
      <c r="EN654" s="1476"/>
      <c r="EO654" s="1476"/>
      <c r="EP654" s="1476"/>
      <c r="EQ654" s="1476"/>
      <c r="ER654" s="1476" t="e">
        <f t="shared" si="27"/>
        <v>#VALUE!</v>
      </c>
      <c r="ES654" s="1476"/>
      <c r="ET654" s="1476"/>
      <c r="EU654" s="1476"/>
      <c r="EV654" s="1476"/>
      <c r="EW654" s="1476" t="e">
        <f t="shared" si="28"/>
        <v>#VALUE!</v>
      </c>
      <c r="EX654" s="1476"/>
      <c r="EY654" s="1476"/>
      <c r="EZ654" s="1476"/>
      <c r="FA654" s="1476"/>
    </row>
    <row r="655" spans="1:157" ht="12.95" customHeight="1">
      <c r="A655" s="22"/>
      <c r="B655" t="s">
        <v>317</v>
      </c>
      <c r="G655" s="1465" t="s">
        <v>2647</v>
      </c>
      <c r="H655" s="1465"/>
      <c r="I655" s="1465"/>
      <c r="J655" s="1465"/>
      <c r="K655" s="1465"/>
      <c r="L655" s="1465"/>
      <c r="O655" s="33" t="s">
        <v>207</v>
      </c>
      <c r="P655" s="1489"/>
      <c r="Q655" s="1489"/>
      <c r="R655" s="1489"/>
      <c r="T655" s="22"/>
      <c r="U655" t="s">
        <v>317</v>
      </c>
      <c r="Z655" s="1465"/>
      <c r="AA655" s="1465"/>
      <c r="AB655" s="1465"/>
      <c r="AC655" s="1465"/>
      <c r="AD655" s="1465"/>
      <c r="AE655" s="1465"/>
      <c r="AH655" s="33" t="s">
        <v>207</v>
      </c>
      <c r="AI655" s="1489"/>
      <c r="AJ655" s="1489"/>
      <c r="AK655" s="1489"/>
      <c r="AZ655" s="34"/>
      <c r="BA655" s="34"/>
      <c r="BB655" s="34"/>
      <c r="BC655" s="34"/>
      <c r="BD655" s="34"/>
      <c r="BE655" s="34"/>
      <c r="BF655" s="34"/>
      <c r="BG655" s="34"/>
      <c r="BH655" s="34"/>
      <c r="BI655" s="34"/>
      <c r="BJ655" s="34"/>
      <c r="BK655" s="34"/>
      <c r="BL655" s="34"/>
      <c r="BM655" s="34"/>
      <c r="BN655" s="1492">
        <f>SUM(BN645:BR654)</f>
        <v>0</v>
      </c>
      <c r="BO655" s="1493"/>
      <c r="BP655" s="1493"/>
      <c r="BQ655" s="1493"/>
      <c r="BR655" s="1494"/>
      <c r="BS655" s="1479">
        <f>SUM(BS645:BW654)</f>
        <v>0</v>
      </c>
      <c r="BT655" s="1480"/>
      <c r="BU655" s="1480"/>
      <c r="BV655" s="1480"/>
      <c r="BW655" s="1481"/>
      <c r="BX655" s="1479">
        <f>SUM(BX645:CB654)</f>
        <v>0</v>
      </c>
      <c r="BY655" s="1480"/>
      <c r="BZ655" s="1480"/>
      <c r="CA655" s="1480"/>
      <c r="CB655" s="1481"/>
      <c r="CC655" s="1479">
        <f>SUM(CC645:CG654)</f>
        <v>0</v>
      </c>
      <c r="CD655" s="1480"/>
      <c r="CE655" s="1480"/>
      <c r="CF655" s="1480"/>
      <c r="CG655" s="1481"/>
      <c r="CH655" s="1479">
        <f>SUM(CH645:CL654)</f>
        <v>0</v>
      </c>
      <c r="CI655" s="1480"/>
      <c r="CJ655" s="1480"/>
      <c r="CK655" s="1480"/>
      <c r="CL655" s="1481"/>
      <c r="CM655" s="1479">
        <f>SUM(CM645:CQ654)</f>
        <v>0</v>
      </c>
      <c r="CN655" s="1480"/>
      <c r="CO655" s="1480"/>
      <c r="CP655" s="1480"/>
      <c r="CQ655" s="1481"/>
      <c r="CR655" s="1047"/>
      <c r="CS655" s="1490">
        <f>SUM(CS645:CW654)</f>
        <v>0</v>
      </c>
      <c r="CT655" s="1490"/>
      <c r="CU655" s="1490"/>
      <c r="CV655" s="1490"/>
      <c r="CW655" s="1490"/>
      <c r="CX655" s="1490">
        <f>SUM(CX645:DB654)</f>
        <v>0</v>
      </c>
      <c r="CY655" s="1490"/>
      <c r="CZ655" s="1490"/>
      <c r="DA655" s="1490"/>
      <c r="DB655" s="1490"/>
      <c r="DC655" s="1490">
        <f>SUM(DC645:DG654)</f>
        <v>0</v>
      </c>
      <c r="DD655" s="1490"/>
      <c r="DE655" s="1490"/>
      <c r="DF655" s="1490"/>
      <c r="DG655" s="1490"/>
      <c r="DH655" s="1490">
        <f>SUM(DH645:DL654)</f>
        <v>0</v>
      </c>
      <c r="DI655" s="1490"/>
      <c r="DJ655" s="1490"/>
      <c r="DK655" s="1490"/>
      <c r="DL655" s="1490"/>
      <c r="DM655" s="1490">
        <f>SUM(DM645:DQ654)</f>
        <v>0</v>
      </c>
      <c r="DN655" s="1490"/>
      <c r="DO655" s="1490"/>
      <c r="DP655" s="1490"/>
      <c r="DQ655" s="1490"/>
      <c r="DR655" s="1490">
        <f>SUM(DR645:DV654)</f>
        <v>0</v>
      </c>
      <c r="DS655" s="1490"/>
      <c r="DT655" s="1490"/>
      <c r="DU655" s="1490"/>
      <c r="DV655" s="1490"/>
      <c r="DX655" s="1476" t="e">
        <f t="shared" si="29"/>
        <v>#VALUE!</v>
      </c>
      <c r="DY655" s="1476"/>
      <c r="DZ655" s="1476"/>
      <c r="EA655" s="1476"/>
      <c r="EB655" s="1476"/>
      <c r="EC655" s="1476" t="e">
        <f t="shared" si="24"/>
        <v>#VALUE!</v>
      </c>
      <c r="ED655" s="1476"/>
      <c r="EE655" s="1476"/>
      <c r="EF655" s="1476"/>
      <c r="EG655" s="1476"/>
      <c r="EH655" s="1476" t="e">
        <f t="shared" si="25"/>
        <v>#VALUE!</v>
      </c>
      <c r="EI655" s="1476"/>
      <c r="EJ655" s="1476"/>
      <c r="EK655" s="1476"/>
      <c r="EL655" s="1476"/>
      <c r="EM655" s="1476">
        <f t="shared" si="26"/>
        <v>219.30555555555557</v>
      </c>
      <c r="EN655" s="1476"/>
      <c r="EO655" s="1476"/>
      <c r="EP655" s="1476"/>
      <c r="EQ655" s="1476"/>
      <c r="ER655" s="1476" t="e">
        <f t="shared" si="27"/>
        <v>#VALUE!</v>
      </c>
      <c r="ES655" s="1476"/>
      <c r="ET655" s="1476"/>
      <c r="EU655" s="1476"/>
      <c r="EV655" s="1476"/>
      <c r="EW655" s="1476" t="e">
        <f t="shared" si="28"/>
        <v>#VALUE!</v>
      </c>
      <c r="EX655" s="1476"/>
      <c r="EY655" s="1476"/>
      <c r="EZ655" s="1476"/>
      <c r="FA655" s="1476"/>
    </row>
    <row r="656" spans="1:157" ht="12.95" customHeight="1">
      <c r="A656" s="22"/>
      <c r="B656" t="s">
        <v>18</v>
      </c>
      <c r="H656" s="1406" t="s">
        <v>2717</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6" t="e">
        <f t="shared" si="29"/>
        <v>#VALUE!</v>
      </c>
      <c r="DY656" s="1476"/>
      <c r="DZ656" s="1476"/>
      <c r="EA656" s="1476"/>
      <c r="EB656" s="1476"/>
      <c r="EC656" s="1476" t="e">
        <f t="shared" si="24"/>
        <v>#VALUE!</v>
      </c>
      <c r="ED656" s="1476"/>
      <c r="EE656" s="1476"/>
      <c r="EF656" s="1476"/>
      <c r="EG656" s="1476"/>
      <c r="EH656" s="1476" t="e">
        <f t="shared" si="25"/>
        <v>#VALUE!</v>
      </c>
      <c r="EI656" s="1476"/>
      <c r="EJ656" s="1476"/>
      <c r="EK656" s="1476"/>
      <c r="EL656" s="1476"/>
      <c r="EM656" s="1476" t="e">
        <f t="shared" si="26"/>
        <v>#VALUE!</v>
      </c>
      <c r="EN656" s="1476"/>
      <c r="EO656" s="1476"/>
      <c r="EP656" s="1476"/>
      <c r="EQ656" s="1476"/>
      <c r="ER656" s="1476" t="e">
        <f t="shared" si="27"/>
        <v>#VALUE!</v>
      </c>
      <c r="ES656" s="1476"/>
      <c r="ET656" s="1476"/>
      <c r="EU656" s="1476"/>
      <c r="EV656" s="1476"/>
      <c r="EW656" s="1476" t="e">
        <f t="shared" si="28"/>
        <v>#VALUE!</v>
      </c>
      <c r="EX656" s="1476"/>
      <c r="EY656" s="1476"/>
      <c r="EZ656" s="1476"/>
      <c r="FA656" s="1476"/>
    </row>
    <row r="657" spans="1:157" ht="12.95" customHeight="1">
      <c r="A657" s="22"/>
      <c r="B657" t="s">
        <v>20</v>
      </c>
      <c r="N657" s="1405" t="s">
        <v>554</v>
      </c>
      <c r="O657" s="1405"/>
      <c r="T657" s="22"/>
      <c r="U657" t="s">
        <v>20</v>
      </c>
      <c r="AG657" s="1405"/>
      <c r="AH657" s="1405"/>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76">
        <f>SUM(CS655:DV655)</f>
        <v>0</v>
      </c>
      <c r="DS657" s="1476"/>
      <c r="DT657" s="1476"/>
      <c r="DU657" s="1476"/>
      <c r="DV657" s="1476"/>
      <c r="DX657" s="1476" t="e">
        <f t="shared" si="29"/>
        <v>#VALUE!</v>
      </c>
      <c r="DY657" s="1476"/>
      <c r="DZ657" s="1476"/>
      <c r="EA657" s="1476"/>
      <c r="EB657" s="1476"/>
      <c r="EC657" s="1476" t="e">
        <f t="shared" si="24"/>
        <v>#VALUE!</v>
      </c>
      <c r="ED657" s="1476"/>
      <c r="EE657" s="1476"/>
      <c r="EF657" s="1476"/>
      <c r="EG657" s="1476"/>
      <c r="EH657" s="1476" t="e">
        <f t="shared" si="25"/>
        <v>#VALUE!</v>
      </c>
      <c r="EI657" s="1476"/>
      <c r="EJ657" s="1476"/>
      <c r="EK657" s="1476"/>
      <c r="EL657" s="1476"/>
      <c r="EM657" s="1476" t="e">
        <f t="shared" si="26"/>
        <v>#VALUE!</v>
      </c>
      <c r="EN657" s="1476"/>
      <c r="EO657" s="1476"/>
      <c r="EP657" s="1476"/>
      <c r="EQ657" s="1476"/>
      <c r="ER657" s="1476" t="e">
        <f t="shared" si="27"/>
        <v>#VALUE!</v>
      </c>
      <c r="ES657" s="1476"/>
      <c r="ET657" s="1476"/>
      <c r="EU657" s="1476"/>
      <c r="EV657" s="1476"/>
      <c r="EW657" s="1476" t="e">
        <f t="shared" si="28"/>
        <v>#VALUE!</v>
      </c>
      <c r="EX657" s="1476"/>
      <c r="EY657" s="1476"/>
      <c r="EZ657" s="1476"/>
      <c r="FA657" s="147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76" t="e">
        <f t="shared" ref="DX658:DX667" si="42">DX620*(BN620/$BN$632)</f>
        <v>#VALUE!</v>
      </c>
      <c r="DY658" s="1476"/>
      <c r="DZ658" s="1476"/>
      <c r="EA658" s="1476"/>
      <c r="EB658" s="1476"/>
      <c r="EC658" s="1476" t="e">
        <f t="shared" ref="EC658:EC667" si="43">EC620*(BS620/$BS$632)</f>
        <v>#VALUE!</v>
      </c>
      <c r="ED658" s="1476"/>
      <c r="EE658" s="1476"/>
      <c r="EF658" s="1476"/>
      <c r="EG658" s="1476"/>
      <c r="EH658" s="1476" t="e">
        <f t="shared" ref="EH658:EH667" si="44">EH620*(BX620/$BX$632)</f>
        <v>#VALUE!</v>
      </c>
      <c r="EI658" s="1476"/>
      <c r="EJ658" s="1476"/>
      <c r="EK658" s="1476"/>
      <c r="EL658" s="1476"/>
      <c r="EM658" s="1476" t="e">
        <f t="shared" ref="EM658:EM667" si="45">EM620*(CC620/$CC$632)</f>
        <v>#VALUE!</v>
      </c>
      <c r="EN658" s="1476"/>
      <c r="EO658" s="1476"/>
      <c r="EP658" s="1476"/>
      <c r="EQ658" s="1476"/>
      <c r="ER658" s="1476" t="e">
        <f t="shared" ref="ER658:ER667" si="46">ER620*(CH620/$CH$632)</f>
        <v>#VALUE!</v>
      </c>
      <c r="ES658" s="1476"/>
      <c r="ET658" s="1476"/>
      <c r="EU658" s="1476"/>
      <c r="EV658" s="1476"/>
      <c r="EW658" s="1476" t="e">
        <f t="shared" ref="EW658:EW667" si="47">EW620*(CM620/$CM$632)</f>
        <v>#VALUE!</v>
      </c>
      <c r="EX658" s="1476"/>
      <c r="EY658" s="1476"/>
      <c r="EZ658" s="1476"/>
      <c r="FA658" s="1476"/>
    </row>
    <row r="659" spans="1:157" ht="12.95" customHeight="1">
      <c r="A659" s="55" t="s">
        <v>773</v>
      </c>
      <c r="B659" t="s">
        <v>472</v>
      </c>
      <c r="G659" s="1451">
        <f>C631</f>
        <v>0</v>
      </c>
      <c r="H659" s="1451"/>
      <c r="I659" s="1451"/>
      <c r="J659" s="1451"/>
      <c r="K659" s="1451"/>
      <c r="L659" s="1451"/>
      <c r="M659" s="1451"/>
      <c r="N659" s="1451"/>
      <c r="O659" s="1451"/>
      <c r="P659" s="1451"/>
      <c r="Q659" s="1451"/>
      <c r="R659" s="1451"/>
      <c r="T659" s="55" t="s">
        <v>593</v>
      </c>
      <c r="U659" t="s">
        <v>472</v>
      </c>
      <c r="Z659" s="1451">
        <f>C632</f>
        <v>0</v>
      </c>
      <c r="AA659" s="1451"/>
      <c r="AB659" s="1451"/>
      <c r="AC659" s="1451"/>
      <c r="AD659" s="1451"/>
      <c r="AE659" s="1451"/>
      <c r="AF659" s="1451"/>
      <c r="AG659" s="1451"/>
      <c r="AH659" s="1451"/>
      <c r="AI659" s="1451"/>
      <c r="AJ659" s="1451"/>
      <c r="AK659" s="145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6" t="e">
        <f t="shared" si="42"/>
        <v>#VALUE!</v>
      </c>
      <c r="DY659" s="1476"/>
      <c r="DZ659" s="1476"/>
      <c r="EA659" s="1476"/>
      <c r="EB659" s="1476"/>
      <c r="EC659" s="1476" t="e">
        <f t="shared" si="43"/>
        <v>#VALUE!</v>
      </c>
      <c r="ED659" s="1476"/>
      <c r="EE659" s="1476"/>
      <c r="EF659" s="1476"/>
      <c r="EG659" s="1476"/>
      <c r="EH659" s="1476" t="e">
        <f t="shared" si="44"/>
        <v>#VALUE!</v>
      </c>
      <c r="EI659" s="1476"/>
      <c r="EJ659" s="1476"/>
      <c r="EK659" s="1476"/>
      <c r="EL659" s="1476"/>
      <c r="EM659" s="1476" t="e">
        <f t="shared" si="45"/>
        <v>#VALUE!</v>
      </c>
      <c r="EN659" s="1476"/>
      <c r="EO659" s="1476"/>
      <c r="EP659" s="1476"/>
      <c r="EQ659" s="1476"/>
      <c r="ER659" s="1476" t="e">
        <f t="shared" si="46"/>
        <v>#VALUE!</v>
      </c>
      <c r="ES659" s="1476"/>
      <c r="ET659" s="1476"/>
      <c r="EU659" s="1476"/>
      <c r="EV659" s="1476"/>
      <c r="EW659" s="1476" t="e">
        <f t="shared" si="47"/>
        <v>#VALUE!</v>
      </c>
      <c r="EX659" s="1476"/>
      <c r="EY659" s="1476"/>
      <c r="EZ659" s="1476"/>
      <c r="FA659" s="1476"/>
    </row>
    <row r="660" spans="1:157" ht="12.95"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BN660" s="1479">
        <f>BN632+BN641+BN655</f>
        <v>0</v>
      </c>
      <c r="BO660" s="1480"/>
      <c r="BP660" s="1480"/>
      <c r="BQ660" s="1480"/>
      <c r="BR660" s="1481"/>
      <c r="BS660" s="1479">
        <f>BS632+BS641+BS655</f>
        <v>78</v>
      </c>
      <c r="BT660" s="1480"/>
      <c r="BU660" s="1480"/>
      <c r="BV660" s="1480"/>
      <c r="BW660" s="1481"/>
      <c r="BX660" s="1479">
        <f>BX632+BX641+BX655</f>
        <v>48</v>
      </c>
      <c r="BY660" s="1480"/>
      <c r="BZ660" s="1480"/>
      <c r="CA660" s="1480"/>
      <c r="CB660" s="1481"/>
      <c r="CC660" s="1479">
        <f>CC632+CC641+CC655</f>
        <v>38</v>
      </c>
      <c r="CD660" s="1480"/>
      <c r="CE660" s="1480"/>
      <c r="CF660" s="1480"/>
      <c r="CG660" s="1481"/>
      <c r="CH660" s="1479">
        <f>CH632+CH641+CH655</f>
        <v>8</v>
      </c>
      <c r="CI660" s="1480"/>
      <c r="CJ660" s="1480"/>
      <c r="CK660" s="1480"/>
      <c r="CL660" s="1481"/>
      <c r="CM660" s="1482">
        <f>CM655+CM641+CM632</f>
        <v>0</v>
      </c>
      <c r="CN660" s="1483"/>
      <c r="CO660" s="1483"/>
      <c r="CP660" s="1483"/>
      <c r="CQ660" s="1484"/>
      <c r="CR660" s="3"/>
      <c r="CS660" s="895">
        <f>CS634+CS658</f>
        <v>314</v>
      </c>
      <c r="CT660" s="57" t="s">
        <v>2056</v>
      </c>
      <c r="CU660" s="3"/>
      <c r="CV660" s="3"/>
      <c r="CW660" s="3"/>
      <c r="CX660" s="3"/>
      <c r="CY660" s="3"/>
      <c r="CZ660" s="3"/>
      <c r="DA660" s="3"/>
      <c r="DB660" s="3"/>
      <c r="DC660" s="3"/>
      <c r="DD660" s="3"/>
      <c r="DE660" s="3"/>
      <c r="DF660" s="3"/>
      <c r="DX660" s="1476" t="e">
        <f t="shared" si="42"/>
        <v>#VALUE!</v>
      </c>
      <c r="DY660" s="1476"/>
      <c r="DZ660" s="1476"/>
      <c r="EA660" s="1476"/>
      <c r="EB660" s="1476"/>
      <c r="EC660" s="1476" t="e">
        <f t="shared" si="43"/>
        <v>#VALUE!</v>
      </c>
      <c r="ED660" s="1476"/>
      <c r="EE660" s="1476"/>
      <c r="EF660" s="1476"/>
      <c r="EG660" s="1476"/>
      <c r="EH660" s="1476" t="e">
        <f t="shared" si="44"/>
        <v>#VALUE!</v>
      </c>
      <c r="EI660" s="1476"/>
      <c r="EJ660" s="1476"/>
      <c r="EK660" s="1476"/>
      <c r="EL660" s="1476"/>
      <c r="EM660" s="1476" t="e">
        <f t="shared" si="45"/>
        <v>#VALUE!</v>
      </c>
      <c r="EN660" s="1476"/>
      <c r="EO660" s="1476"/>
      <c r="EP660" s="1476"/>
      <c r="EQ660" s="1476"/>
      <c r="ER660" s="1476" t="e">
        <f t="shared" si="46"/>
        <v>#VALUE!</v>
      </c>
      <c r="ES660" s="1476"/>
      <c r="ET660" s="1476"/>
      <c r="EU660" s="1476"/>
      <c r="EV660" s="1476"/>
      <c r="EW660" s="1476" t="e">
        <f t="shared" si="47"/>
        <v>#VALUE!</v>
      </c>
      <c r="EX660" s="1476"/>
      <c r="EY660" s="1476"/>
      <c r="EZ660" s="1476"/>
      <c r="FA660" s="1476"/>
    </row>
    <row r="661" spans="1:157" ht="12.95" customHeight="1">
      <c r="A661" s="22"/>
      <c r="B661" t="s">
        <v>589</v>
      </c>
      <c r="G661" s="1406"/>
      <c r="H661" s="1406"/>
      <c r="I661" s="1406"/>
      <c r="J661" s="1406"/>
      <c r="K661" s="1406"/>
      <c r="L661" s="1406"/>
      <c r="M661" s="1406"/>
      <c r="N661" s="1406"/>
      <c r="O661" s="1406"/>
      <c r="P661" s="1406"/>
      <c r="Q661" s="1406"/>
      <c r="R661" s="1406"/>
      <c r="T661" s="22"/>
      <c r="U661" t="s">
        <v>589</v>
      </c>
      <c r="Z661" s="1407"/>
      <c r="AA661" s="1407"/>
      <c r="AB661" s="1407"/>
      <c r="AC661" s="1407"/>
      <c r="AD661" s="1407"/>
      <c r="AE661" s="1407"/>
      <c r="AF661" s="1407"/>
      <c r="AG661" s="1407"/>
      <c r="AH661" s="1407"/>
      <c r="AI661" s="1407"/>
      <c r="AJ661" s="1407"/>
      <c r="AK661" s="140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6" t="e">
        <f t="shared" si="42"/>
        <v>#VALUE!</v>
      </c>
      <c r="DY661" s="1476"/>
      <c r="DZ661" s="1476"/>
      <c r="EA661" s="1476"/>
      <c r="EB661" s="1476"/>
      <c r="EC661" s="1476" t="e">
        <f t="shared" si="43"/>
        <v>#VALUE!</v>
      </c>
      <c r="ED661" s="1476"/>
      <c r="EE661" s="1476"/>
      <c r="EF661" s="1476"/>
      <c r="EG661" s="1476"/>
      <c r="EH661" s="1476" t="e">
        <f t="shared" si="44"/>
        <v>#VALUE!</v>
      </c>
      <c r="EI661" s="1476"/>
      <c r="EJ661" s="1476"/>
      <c r="EK661" s="1476"/>
      <c r="EL661" s="1476"/>
      <c r="EM661" s="1476" t="e">
        <f t="shared" si="45"/>
        <v>#VALUE!</v>
      </c>
      <c r="EN661" s="1476"/>
      <c r="EO661" s="1476"/>
      <c r="EP661" s="1476"/>
      <c r="EQ661" s="1476"/>
      <c r="ER661" s="1476" t="e">
        <f t="shared" si="46"/>
        <v>#VALUE!</v>
      </c>
      <c r="ES661" s="1476"/>
      <c r="ET661" s="1476"/>
      <c r="EU661" s="1476"/>
      <c r="EV661" s="1476"/>
      <c r="EW661" s="1476" t="e">
        <f t="shared" si="47"/>
        <v>#VALUE!</v>
      </c>
      <c r="EX661" s="1476"/>
      <c r="EY661" s="1476"/>
      <c r="EZ661" s="1476"/>
      <c r="FA661" s="1476"/>
    </row>
    <row r="662" spans="1:157" ht="12.95" customHeight="1">
      <c r="A662" s="22"/>
      <c r="B662" t="s">
        <v>17</v>
      </c>
      <c r="G662" s="1406"/>
      <c r="H662" s="1406"/>
      <c r="I662" s="1406"/>
      <c r="J662" s="1406"/>
      <c r="K662" s="1406"/>
      <c r="L662" s="1406"/>
      <c r="M662" s="1406"/>
      <c r="N662" s="1406"/>
      <c r="O662" s="1406"/>
      <c r="P662" s="1406"/>
      <c r="Q662" s="1406"/>
      <c r="R662" s="1406"/>
      <c r="T662" s="22"/>
      <c r="U662" t="s">
        <v>17</v>
      </c>
      <c r="Z662" s="1407"/>
      <c r="AA662" s="1407"/>
      <c r="AB662" s="1407"/>
      <c r="AC662" s="1407"/>
      <c r="AD662" s="1407"/>
      <c r="AE662" s="1407"/>
      <c r="AF662" s="1407"/>
      <c r="AG662" s="1407"/>
      <c r="AH662" s="1407"/>
      <c r="AI662" s="1407"/>
      <c r="AJ662" s="1407"/>
      <c r="AK662" s="140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6" t="e">
        <f t="shared" si="42"/>
        <v>#VALUE!</v>
      </c>
      <c r="DY662" s="1476"/>
      <c r="DZ662" s="1476"/>
      <c r="EA662" s="1476"/>
      <c r="EB662" s="1476"/>
      <c r="EC662" s="1476" t="e">
        <f t="shared" si="43"/>
        <v>#VALUE!</v>
      </c>
      <c r="ED662" s="1476"/>
      <c r="EE662" s="1476"/>
      <c r="EF662" s="1476"/>
      <c r="EG662" s="1476"/>
      <c r="EH662" s="1476" t="e">
        <f t="shared" si="44"/>
        <v>#VALUE!</v>
      </c>
      <c r="EI662" s="1476"/>
      <c r="EJ662" s="1476"/>
      <c r="EK662" s="1476"/>
      <c r="EL662" s="1476"/>
      <c r="EM662" s="1476" t="e">
        <f t="shared" si="45"/>
        <v>#VALUE!</v>
      </c>
      <c r="EN662" s="1476"/>
      <c r="EO662" s="1476"/>
      <c r="EP662" s="1476"/>
      <c r="EQ662" s="1476"/>
      <c r="ER662" s="1476" t="e">
        <f t="shared" si="46"/>
        <v>#VALUE!</v>
      </c>
      <c r="ES662" s="1476"/>
      <c r="ET662" s="1476"/>
      <c r="EU662" s="1476"/>
      <c r="EV662" s="1476"/>
      <c r="EW662" s="1476" t="e">
        <f t="shared" si="47"/>
        <v>#VALUE!</v>
      </c>
      <c r="EX662" s="1476"/>
      <c r="EY662" s="1476"/>
      <c r="EZ662" s="1476"/>
      <c r="FA662" s="1476"/>
    </row>
    <row r="663" spans="1:157" ht="12.95" customHeight="1">
      <c r="A663" s="22"/>
      <c r="B663" t="s">
        <v>317</v>
      </c>
      <c r="G663" s="1465"/>
      <c r="H663" s="1465"/>
      <c r="I663" s="1465"/>
      <c r="J663" s="1465"/>
      <c r="K663" s="1465"/>
      <c r="L663" s="1465"/>
      <c r="O663" s="33" t="s">
        <v>207</v>
      </c>
      <c r="P663" s="1489"/>
      <c r="Q663" s="1489"/>
      <c r="R663" s="1489"/>
      <c r="T663" s="22"/>
      <c r="U663" t="s">
        <v>317</v>
      </c>
      <c r="Z663" s="1465"/>
      <c r="AA663" s="1465"/>
      <c r="AB663" s="1465"/>
      <c r="AC663" s="1465"/>
      <c r="AD663" s="1465"/>
      <c r="AE663" s="1465"/>
      <c r="AH663" s="33" t="s">
        <v>207</v>
      </c>
      <c r="AI663" s="1489"/>
      <c r="AJ663" s="1489"/>
      <c r="AK663" s="148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6" t="e">
        <f t="shared" si="42"/>
        <v>#VALUE!</v>
      </c>
      <c r="DY663" s="1476"/>
      <c r="DZ663" s="1476"/>
      <c r="EA663" s="1476"/>
      <c r="EB663" s="1476"/>
      <c r="EC663" s="1476" t="e">
        <f t="shared" si="43"/>
        <v>#VALUE!</v>
      </c>
      <c r="ED663" s="1476"/>
      <c r="EE663" s="1476"/>
      <c r="EF663" s="1476"/>
      <c r="EG663" s="1476"/>
      <c r="EH663" s="1476" t="e">
        <f t="shared" si="44"/>
        <v>#VALUE!</v>
      </c>
      <c r="EI663" s="1476"/>
      <c r="EJ663" s="1476"/>
      <c r="EK663" s="1476"/>
      <c r="EL663" s="1476"/>
      <c r="EM663" s="1476" t="e">
        <f t="shared" si="45"/>
        <v>#VALUE!</v>
      </c>
      <c r="EN663" s="1476"/>
      <c r="EO663" s="1476"/>
      <c r="EP663" s="1476"/>
      <c r="EQ663" s="1476"/>
      <c r="ER663" s="1476" t="e">
        <f t="shared" si="46"/>
        <v>#VALUE!</v>
      </c>
      <c r="ES663" s="1476"/>
      <c r="ET663" s="1476"/>
      <c r="EU663" s="1476"/>
      <c r="EV663" s="1476"/>
      <c r="EW663" s="1476" t="e">
        <f t="shared" si="47"/>
        <v>#VALUE!</v>
      </c>
      <c r="EX663" s="1476"/>
      <c r="EY663" s="1476"/>
      <c r="EZ663" s="1476"/>
      <c r="FA663" s="1476"/>
    </row>
    <row r="664" spans="1:157" ht="12.95"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6" t="e">
        <f t="shared" si="42"/>
        <v>#VALUE!</v>
      </c>
      <c r="DY664" s="1476"/>
      <c r="DZ664" s="1476"/>
      <c r="EA664" s="1476"/>
      <c r="EB664" s="1476"/>
      <c r="EC664" s="1476" t="e">
        <f t="shared" si="43"/>
        <v>#VALUE!</v>
      </c>
      <c r="ED664" s="1476"/>
      <c r="EE664" s="1476"/>
      <c r="EF664" s="1476"/>
      <c r="EG664" s="1476"/>
      <c r="EH664" s="1476" t="e">
        <f t="shared" si="44"/>
        <v>#VALUE!</v>
      </c>
      <c r="EI664" s="1476"/>
      <c r="EJ664" s="1476"/>
      <c r="EK664" s="1476"/>
      <c r="EL664" s="1476"/>
      <c r="EM664" s="1476" t="e">
        <f t="shared" si="45"/>
        <v>#VALUE!</v>
      </c>
      <c r="EN664" s="1476"/>
      <c r="EO664" s="1476"/>
      <c r="EP664" s="1476"/>
      <c r="EQ664" s="1476"/>
      <c r="ER664" s="1476" t="e">
        <f t="shared" si="46"/>
        <v>#VALUE!</v>
      </c>
      <c r="ES664" s="1476"/>
      <c r="ET664" s="1476"/>
      <c r="EU664" s="1476"/>
      <c r="EV664" s="1476"/>
      <c r="EW664" s="1476" t="e">
        <f t="shared" si="47"/>
        <v>#VALUE!</v>
      </c>
      <c r="EX664" s="1476"/>
      <c r="EY664" s="1476"/>
      <c r="EZ664" s="1476"/>
      <c r="FA664" s="1476"/>
    </row>
    <row r="665" spans="1:157" ht="12.95" customHeight="1">
      <c r="A665" s="22"/>
      <c r="B665" t="s">
        <v>20</v>
      </c>
      <c r="N665" s="1405" t="s">
        <v>678</v>
      </c>
      <c r="O665" s="1405"/>
      <c r="T665" s="22"/>
      <c r="U665" t="s">
        <v>20</v>
      </c>
      <c r="AG665" s="1405" t="s">
        <v>678</v>
      </c>
      <c r="AH665" s="140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6" t="e">
        <f t="shared" si="42"/>
        <v>#VALUE!</v>
      </c>
      <c r="DY665" s="1476"/>
      <c r="DZ665" s="1476"/>
      <c r="EA665" s="1476"/>
      <c r="EB665" s="1476"/>
      <c r="EC665" s="1476" t="e">
        <f t="shared" si="43"/>
        <v>#VALUE!</v>
      </c>
      <c r="ED665" s="1476"/>
      <c r="EE665" s="1476"/>
      <c r="EF665" s="1476"/>
      <c r="EG665" s="1476"/>
      <c r="EH665" s="1476" t="e">
        <f t="shared" si="44"/>
        <v>#VALUE!</v>
      </c>
      <c r="EI665" s="1476"/>
      <c r="EJ665" s="1476"/>
      <c r="EK665" s="1476"/>
      <c r="EL665" s="1476"/>
      <c r="EM665" s="1476" t="e">
        <f t="shared" si="45"/>
        <v>#VALUE!</v>
      </c>
      <c r="EN665" s="1476"/>
      <c r="EO665" s="1476"/>
      <c r="EP665" s="1476"/>
      <c r="EQ665" s="1476"/>
      <c r="ER665" s="1476" t="e">
        <f t="shared" si="46"/>
        <v>#VALUE!</v>
      </c>
      <c r="ES665" s="1476"/>
      <c r="ET665" s="1476"/>
      <c r="EU665" s="1476"/>
      <c r="EV665" s="1476"/>
      <c r="EW665" s="1476" t="e">
        <f t="shared" si="47"/>
        <v>#VALUE!</v>
      </c>
      <c r="EX665" s="1476"/>
      <c r="EY665" s="1476"/>
      <c r="EZ665" s="1476"/>
      <c r="FA665" s="1476"/>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6" t="e">
        <f t="shared" si="42"/>
        <v>#VALUE!</v>
      </c>
      <c r="DY666" s="1476"/>
      <c r="DZ666" s="1476"/>
      <c r="EA666" s="1476"/>
      <c r="EB666" s="1476"/>
      <c r="EC666" s="1476" t="e">
        <f t="shared" si="43"/>
        <v>#VALUE!</v>
      </c>
      <c r="ED666" s="1476"/>
      <c r="EE666" s="1476"/>
      <c r="EF666" s="1476"/>
      <c r="EG666" s="1476"/>
      <c r="EH666" s="1476" t="e">
        <f t="shared" si="44"/>
        <v>#VALUE!</v>
      </c>
      <c r="EI666" s="1476"/>
      <c r="EJ666" s="1476"/>
      <c r="EK666" s="1476"/>
      <c r="EL666" s="1476"/>
      <c r="EM666" s="1476" t="e">
        <f t="shared" si="45"/>
        <v>#VALUE!</v>
      </c>
      <c r="EN666" s="1476"/>
      <c r="EO666" s="1476"/>
      <c r="EP666" s="1476"/>
      <c r="EQ666" s="1476"/>
      <c r="ER666" s="1476" t="e">
        <f t="shared" si="46"/>
        <v>#VALUE!</v>
      </c>
      <c r="ES666" s="1476"/>
      <c r="ET666" s="1476"/>
      <c r="EU666" s="1476"/>
      <c r="EV666" s="1476"/>
      <c r="EW666" s="1476" t="e">
        <f t="shared" si="47"/>
        <v>#VALUE!</v>
      </c>
      <c r="EX666" s="1476"/>
      <c r="EY666" s="1476"/>
      <c r="EZ666" s="1476"/>
      <c r="FA666" s="1476"/>
    </row>
    <row r="667" spans="1:157" ht="12.95" customHeight="1">
      <c r="A667" s="55" t="s">
        <v>464</v>
      </c>
      <c r="B667" t="s">
        <v>472</v>
      </c>
      <c r="G667" s="1451">
        <f>C633</f>
        <v>0</v>
      </c>
      <c r="H667" s="1451"/>
      <c r="I667" s="1451"/>
      <c r="J667" s="1451"/>
      <c r="K667" s="1451"/>
      <c r="L667" s="1451"/>
      <c r="M667" s="1451"/>
      <c r="N667" s="1451"/>
      <c r="O667" s="1451"/>
      <c r="P667" s="1451"/>
      <c r="Q667" s="1451"/>
      <c r="R667" s="1451"/>
      <c r="T667" s="55" t="s">
        <v>465</v>
      </c>
      <c r="U667" t="s">
        <v>472</v>
      </c>
      <c r="Z667" s="1451">
        <f>C634</f>
        <v>0</v>
      </c>
      <c r="AA667" s="1451"/>
      <c r="AB667" s="1451"/>
      <c r="AC667" s="1451"/>
      <c r="AD667" s="1451"/>
      <c r="AE667" s="1451"/>
      <c r="AF667" s="1451"/>
      <c r="AG667" s="1451"/>
      <c r="AH667" s="1451"/>
      <c r="AI667" s="1451"/>
      <c r="AJ667" s="1451"/>
      <c r="AK667" s="1451"/>
      <c r="AZ667" s="3"/>
      <c r="BA667" s="118">
        <f t="shared" ref="BA667:BA699" si="48">IF($G718=0,"N/A",VLOOKUP($T$189,TC_Rent,(MATCH($B718,bedrooms,FALSE))))</f>
        <v>1748</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6" t="e">
        <f t="shared" si="42"/>
        <v>#VALUE!</v>
      </c>
      <c r="DY667" s="1476"/>
      <c r="DZ667" s="1476"/>
      <c r="EA667" s="1476"/>
      <c r="EB667" s="1476"/>
      <c r="EC667" s="1476" t="e">
        <f t="shared" si="43"/>
        <v>#VALUE!</v>
      </c>
      <c r="ED667" s="1476"/>
      <c r="EE667" s="1476"/>
      <c r="EF667" s="1476"/>
      <c r="EG667" s="1476"/>
      <c r="EH667" s="1476" t="e">
        <f t="shared" si="44"/>
        <v>#VALUE!</v>
      </c>
      <c r="EI667" s="1476"/>
      <c r="EJ667" s="1476"/>
      <c r="EK667" s="1476"/>
      <c r="EL667" s="1476"/>
      <c r="EM667" s="1476" t="e">
        <f t="shared" si="45"/>
        <v>#VALUE!</v>
      </c>
      <c r="EN667" s="1476"/>
      <c r="EO667" s="1476"/>
      <c r="EP667" s="1476"/>
      <c r="EQ667" s="1476"/>
      <c r="ER667" s="1476" t="e">
        <f t="shared" si="46"/>
        <v>#VALUE!</v>
      </c>
      <c r="ES667" s="1476"/>
      <c r="ET667" s="1476"/>
      <c r="EU667" s="1476"/>
      <c r="EV667" s="1476"/>
      <c r="EW667" s="1476" t="e">
        <f t="shared" si="47"/>
        <v>#VALUE!</v>
      </c>
      <c r="EX667" s="1476"/>
      <c r="EY667" s="1476"/>
      <c r="EZ667" s="1476"/>
      <c r="FA667" s="1476"/>
    </row>
    <row r="668" spans="1:157" ht="12.95"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BA668" s="118">
        <f t="shared" si="48"/>
        <v>2096</v>
      </c>
      <c r="BB668" s="3"/>
      <c r="BC668" s="3"/>
      <c r="BD668" s="3"/>
      <c r="BE668" s="3"/>
      <c r="BF668" s="218"/>
      <c r="BG668" s="315">
        <f t="shared" ref="BG668:BG700" si="49">G718</f>
        <v>7</v>
      </c>
      <c r="BH668" s="319">
        <f t="shared" ref="BH668:BH702" si="50">IF($BG$703=0,0,BG668/$BG$703)</f>
        <v>4.1176470588235294E-2</v>
      </c>
      <c r="BI668" s="320">
        <f t="shared" ref="BI668:BI691" si="51">IF(BH668=0,"",BH668*AC718)</f>
        <v>1.2352941176470587E-2</v>
      </c>
      <c r="BJ668" s="3"/>
      <c r="BK668" s="3"/>
      <c r="BL668" s="3"/>
      <c r="BM668" s="3"/>
      <c r="BN668" s="3"/>
      <c r="BO668" s="3"/>
      <c r="BT668" s="315">
        <f t="shared" ref="BT668:BT700" si="52">G718</f>
        <v>7</v>
      </c>
      <c r="BU668" s="319">
        <f t="shared" ref="BU668:BU702" si="53">IF($BT$703=0,0,BT668/$BT$703)</f>
        <v>4.1176470588235294E-2</v>
      </c>
      <c r="BV668" s="320">
        <f t="shared" ref="BV668:BV700" si="54">IF(BU668=0,"",BU668*AH718)</f>
        <v>1.2343518643155202E-2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6" t="e">
        <f>DX630*(BN630/$BN$632)</f>
        <v>#VALUE!</v>
      </c>
      <c r="DY668" s="1476"/>
      <c r="DZ668" s="1476"/>
      <c r="EA668" s="1476"/>
      <c r="EB668" s="1476"/>
      <c r="EC668" s="1476" t="e">
        <f>EC630*(BS630/$BS$632)</f>
        <v>#VALUE!</v>
      </c>
      <c r="ED668" s="1476"/>
      <c r="EE668" s="1476"/>
      <c r="EF668" s="1476"/>
      <c r="EG668" s="1476"/>
      <c r="EH668" s="1476" t="e">
        <f>EH630*(BX630/$BX$632)</f>
        <v>#VALUE!</v>
      </c>
      <c r="EI668" s="1476"/>
      <c r="EJ668" s="1476"/>
      <c r="EK668" s="1476"/>
      <c r="EL668" s="1476"/>
      <c r="EM668" s="1476" t="e">
        <f>EM630*(CC630/$CC$632)</f>
        <v>#VALUE!</v>
      </c>
      <c r="EN668" s="1476"/>
      <c r="EO668" s="1476"/>
      <c r="EP668" s="1476"/>
      <c r="EQ668" s="1476"/>
      <c r="ER668" s="1476" t="e">
        <f>ER630*(CH630/$CH$632)</f>
        <v>#VALUE!</v>
      </c>
      <c r="ES668" s="1476"/>
      <c r="ET668" s="1476"/>
      <c r="EU668" s="1476"/>
      <c r="EV668" s="1476"/>
      <c r="EW668" s="1476" t="e">
        <f>EW630*(CM630/$CM$632)</f>
        <v>#VALUE!</v>
      </c>
      <c r="EX668" s="1476"/>
      <c r="EY668" s="1476"/>
      <c r="EZ668" s="1476"/>
      <c r="FA668" s="1476"/>
    </row>
    <row r="669" spans="1:157" ht="12.95" customHeight="1">
      <c r="A669" s="22"/>
      <c r="B669" t="s">
        <v>589</v>
      </c>
      <c r="G669" s="1406"/>
      <c r="H669" s="1406"/>
      <c r="I669" s="1406"/>
      <c r="J669" s="1406"/>
      <c r="K669" s="1406"/>
      <c r="L669" s="1406"/>
      <c r="M669" s="1406"/>
      <c r="N669" s="1406"/>
      <c r="O669" s="1406"/>
      <c r="P669" s="1406"/>
      <c r="Q669" s="1406"/>
      <c r="R669" s="1406"/>
      <c r="T669" s="22"/>
      <c r="U669" t="s">
        <v>589</v>
      </c>
      <c r="Z669" s="1407"/>
      <c r="AA669" s="1407"/>
      <c r="AB669" s="1407"/>
      <c r="AC669" s="1407"/>
      <c r="AD669" s="1407"/>
      <c r="AE669" s="1407"/>
      <c r="AF669" s="1407"/>
      <c r="AG669" s="1407"/>
      <c r="AH669" s="1407"/>
      <c r="AI669" s="1407"/>
      <c r="AJ669" s="1407"/>
      <c r="AK669" s="1407"/>
      <c r="AZ669" s="3"/>
      <c r="BA669" s="118">
        <f t="shared" si="48"/>
        <v>2422</v>
      </c>
      <c r="BB669" s="3"/>
      <c r="BC669" s="3"/>
      <c r="BD669" s="3"/>
      <c r="BE669" s="3"/>
      <c r="BF669" s="218"/>
      <c r="BG669" s="316">
        <f t="shared" si="49"/>
        <v>5</v>
      </c>
      <c r="BH669" s="319">
        <f t="shared" si="50"/>
        <v>2.9411764705882353E-2</v>
      </c>
      <c r="BI669" s="320">
        <f t="shared" si="51"/>
        <v>8.8235294117647058E-3</v>
      </c>
      <c r="BJ669" s="3"/>
      <c r="BK669" s="3"/>
      <c r="BL669" s="3"/>
      <c r="BM669" s="3"/>
      <c r="BN669" s="3"/>
      <c r="BO669" s="3"/>
      <c r="BT669" s="316">
        <f t="shared" si="52"/>
        <v>5</v>
      </c>
      <c r="BU669" s="319">
        <f t="shared" si="53"/>
        <v>2.9411764705882353E-2</v>
      </c>
      <c r="BV669" s="320">
        <f t="shared" si="54"/>
        <v>8.8263358778625945E-3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6" t="e">
        <f>DX631*(BN631/$BN$632)</f>
        <v>#VALUE!</v>
      </c>
      <c r="DY669" s="1476"/>
      <c r="DZ669" s="1476"/>
      <c r="EA669" s="1476"/>
      <c r="EB669" s="1476"/>
      <c r="EC669" s="1476" t="e">
        <f>EC631*(BS631/$BS$632)</f>
        <v>#VALUE!</v>
      </c>
      <c r="ED669" s="1476"/>
      <c r="EE669" s="1476"/>
      <c r="EF669" s="1476"/>
      <c r="EG669" s="1476"/>
      <c r="EH669" s="1476" t="e">
        <f>EH631*(BX631/$BX$632)</f>
        <v>#VALUE!</v>
      </c>
      <c r="EI669" s="1476"/>
      <c r="EJ669" s="1476"/>
      <c r="EK669" s="1476"/>
      <c r="EL669" s="1476"/>
      <c r="EM669" s="1476" t="e">
        <f>EM631*(CC631/$CC$632)</f>
        <v>#VALUE!</v>
      </c>
      <c r="EN669" s="1476"/>
      <c r="EO669" s="1476"/>
      <c r="EP669" s="1476"/>
      <c r="EQ669" s="1476"/>
      <c r="ER669" s="1476" t="e">
        <f>ER631*(CH631/$CH$632)</f>
        <v>#VALUE!</v>
      </c>
      <c r="ES669" s="1476"/>
      <c r="ET669" s="1476"/>
      <c r="EU669" s="1476"/>
      <c r="EV669" s="1476"/>
      <c r="EW669" s="1476" t="e">
        <f>EW631*(CM631/$CM$632)</f>
        <v>#VALUE!</v>
      </c>
      <c r="EX669" s="1476"/>
      <c r="EY669" s="1476"/>
      <c r="EZ669" s="1476"/>
      <c r="FA669" s="1476"/>
    </row>
    <row r="670" spans="1:157" ht="12.95" customHeight="1">
      <c r="A670" s="22"/>
      <c r="B670" t="s">
        <v>17</v>
      </c>
      <c r="G670" s="1406"/>
      <c r="H670" s="1406"/>
      <c r="I670" s="1406"/>
      <c r="J670" s="1406"/>
      <c r="K670" s="1406"/>
      <c r="L670" s="1406"/>
      <c r="M670" s="1406"/>
      <c r="N670" s="1406"/>
      <c r="O670" s="1406"/>
      <c r="P670" s="1406"/>
      <c r="Q670" s="1406"/>
      <c r="R670" s="1406"/>
      <c r="T670" s="22"/>
      <c r="U670" t="s">
        <v>17</v>
      </c>
      <c r="Z670" s="1407"/>
      <c r="AA670" s="1407"/>
      <c r="AB670" s="1407"/>
      <c r="AC670" s="1407"/>
      <c r="AD670" s="1407"/>
      <c r="AE670" s="1407"/>
      <c r="AF670" s="1407"/>
      <c r="AG670" s="1407"/>
      <c r="AH670" s="1407"/>
      <c r="AI670" s="1407"/>
      <c r="AJ670" s="1407"/>
      <c r="AK670" s="1407"/>
      <c r="AZ670" s="3"/>
      <c r="BA670" s="118">
        <f t="shared" si="48"/>
        <v>2704</v>
      </c>
      <c r="BB670" s="3"/>
      <c r="BC670" s="3"/>
      <c r="BD670" s="3"/>
      <c r="BE670" s="3"/>
      <c r="BF670" s="218"/>
      <c r="BG670" s="316">
        <f t="shared" si="49"/>
        <v>4</v>
      </c>
      <c r="BH670" s="319">
        <f t="shared" si="50"/>
        <v>2.3529411764705882E-2</v>
      </c>
      <c r="BI670" s="320">
        <f t="shared" si="51"/>
        <v>7.0588235294117641E-3</v>
      </c>
      <c r="BJ670" s="3"/>
      <c r="BK670" s="3"/>
      <c r="BL670" s="3"/>
      <c r="BM670" s="3"/>
      <c r="BN670" s="3"/>
      <c r="BO670" s="3"/>
      <c r="BT670" s="316">
        <f t="shared" si="52"/>
        <v>4</v>
      </c>
      <c r="BU670" s="319">
        <f t="shared" si="53"/>
        <v>2.3529411764705882E-2</v>
      </c>
      <c r="BV670" s="320">
        <f t="shared" si="54"/>
        <v>7.0627094768543255E-3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6">
        <f>SUMIF(DX635:EB669,"&gt;0")</f>
        <v>0</v>
      </c>
      <c r="DY670" s="1476"/>
      <c r="DZ670" s="1476"/>
      <c r="EA670" s="1476"/>
      <c r="EB670" s="1476"/>
      <c r="EC670" s="1476">
        <f>SUMIF(EC635:EG669,"&gt;0")</f>
        <v>804.26923076923072</v>
      </c>
      <c r="ED670" s="1476"/>
      <c r="EE670" s="1476"/>
      <c r="EF670" s="1476"/>
      <c r="EG670" s="1476"/>
      <c r="EH670" s="1476">
        <f>SUMIF(EH635:EL669,"&gt;0")</f>
        <v>983.5625</v>
      </c>
      <c r="EI670" s="1476"/>
      <c r="EJ670" s="1476"/>
      <c r="EK670" s="1476"/>
      <c r="EL670" s="1476"/>
      <c r="EM670" s="1476">
        <f>SUMIF(EM635:EQ669,"&gt;0")</f>
        <v>1114.5555555555557</v>
      </c>
      <c r="EN670" s="1476"/>
      <c r="EO670" s="1476"/>
      <c r="EP670" s="1476"/>
      <c r="EQ670" s="1476"/>
      <c r="ER670" s="1476">
        <f>SUMIF(ER635:EV669,"&gt;0")</f>
        <v>1004.25</v>
      </c>
      <c r="ES670" s="1476"/>
      <c r="ET670" s="1476"/>
      <c r="EU670" s="1476"/>
      <c r="EV670" s="1476"/>
      <c r="EW670" s="1476">
        <f>SUMIF(EW635:FA669,"&gt;0")</f>
        <v>0</v>
      </c>
      <c r="EX670" s="1476"/>
      <c r="EY670" s="1476"/>
      <c r="EZ670" s="1476"/>
      <c r="FA670" s="1476"/>
    </row>
    <row r="671" spans="1:157" ht="12.95" customHeight="1">
      <c r="A671" s="22"/>
      <c r="B671" t="s">
        <v>317</v>
      </c>
      <c r="G671" s="1465"/>
      <c r="H671" s="1465"/>
      <c r="I671" s="1465"/>
      <c r="J671" s="1465"/>
      <c r="K671" s="1465"/>
      <c r="L671" s="1465"/>
      <c r="O671" s="33" t="s">
        <v>207</v>
      </c>
      <c r="P671" s="1489"/>
      <c r="Q671" s="1489"/>
      <c r="R671" s="1489"/>
      <c r="T671" s="22"/>
      <c r="U671" t="s">
        <v>317</v>
      </c>
      <c r="Z671" s="1465"/>
      <c r="AA671" s="1465"/>
      <c r="AB671" s="1465"/>
      <c r="AC671" s="1465"/>
      <c r="AD671" s="1465"/>
      <c r="AE671" s="1465"/>
      <c r="AH671" s="33" t="s">
        <v>207</v>
      </c>
      <c r="AI671" s="1489"/>
      <c r="AJ671" s="1489"/>
      <c r="AK671" s="1489"/>
      <c r="AZ671" s="3"/>
      <c r="BA671" s="118">
        <f t="shared" si="48"/>
        <v>1748</v>
      </c>
      <c r="BB671" s="3"/>
      <c r="BC671" s="3"/>
      <c r="BD671" s="3"/>
      <c r="BE671" s="3"/>
      <c r="BF671" s="218"/>
      <c r="BG671" s="316">
        <f t="shared" si="49"/>
        <v>2</v>
      </c>
      <c r="BH671" s="319">
        <f t="shared" si="50"/>
        <v>1.1764705882352941E-2</v>
      </c>
      <c r="BI671" s="320">
        <f t="shared" si="51"/>
        <v>3.529411764705882E-3</v>
      </c>
      <c r="BJ671" s="3"/>
      <c r="BK671" s="3"/>
      <c r="BL671" s="3"/>
      <c r="BM671" s="3"/>
      <c r="BN671" s="3"/>
      <c r="BO671" s="3"/>
      <c r="BT671" s="316">
        <f t="shared" si="52"/>
        <v>2</v>
      </c>
      <c r="BU671" s="319">
        <f t="shared" si="53"/>
        <v>1.1764705882352941E-2</v>
      </c>
      <c r="BV671" s="320">
        <f t="shared" si="54"/>
        <v>3.5285415941524539E-3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BA672" s="118">
        <f t="shared" si="48"/>
        <v>1748</v>
      </c>
      <c r="BB672" s="3"/>
      <c r="BC672" s="3"/>
      <c r="BD672" s="3"/>
      <c r="BE672" s="3"/>
      <c r="BF672" s="218"/>
      <c r="BG672" s="316">
        <f t="shared" si="49"/>
        <v>5</v>
      </c>
      <c r="BH672" s="319">
        <f t="shared" si="50"/>
        <v>2.9411764705882353E-2</v>
      </c>
      <c r="BI672" s="320">
        <f t="shared" si="51"/>
        <v>1.1764705882352941E-2</v>
      </c>
      <c r="BJ672" s="3"/>
      <c r="BK672" s="3"/>
      <c r="BL672" s="3"/>
      <c r="BM672" s="3"/>
      <c r="BN672" s="3"/>
      <c r="BO672" s="3"/>
      <c r="BT672" s="316">
        <f t="shared" si="52"/>
        <v>5</v>
      </c>
      <c r="BU672" s="319">
        <f t="shared" si="53"/>
        <v>2.9411764705882353E-2</v>
      </c>
      <c r="BV672" s="320">
        <f t="shared" si="54"/>
        <v>1.176134069188316E-2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5" t="s">
        <v>678</v>
      </c>
      <c r="O673" s="1405"/>
      <c r="T673" s="22"/>
      <c r="U673" t="s">
        <v>20</v>
      </c>
      <c r="AG673" s="1405" t="s">
        <v>678</v>
      </c>
      <c r="AH673" s="1405"/>
      <c r="AZ673" s="3"/>
      <c r="BA673" s="118">
        <f t="shared" si="48"/>
        <v>2096</v>
      </c>
      <c r="BB673" s="3"/>
      <c r="BC673" s="3"/>
      <c r="BD673" s="3"/>
      <c r="BE673" s="3"/>
      <c r="BF673" s="218"/>
      <c r="BG673" s="316">
        <f t="shared" si="49"/>
        <v>17</v>
      </c>
      <c r="BH673" s="319">
        <f t="shared" si="50"/>
        <v>0.1</v>
      </c>
      <c r="BI673" s="320">
        <f t="shared" si="51"/>
        <v>4.0000000000000008E-2</v>
      </c>
      <c r="BJ673" s="3"/>
      <c r="BK673" s="3"/>
      <c r="BL673" s="3"/>
      <c r="BM673" s="3"/>
      <c r="BN673" s="3"/>
      <c r="BO673" s="3"/>
      <c r="BT673" s="316">
        <f t="shared" si="52"/>
        <v>17</v>
      </c>
      <c r="BU673" s="319">
        <f t="shared" si="53"/>
        <v>0.1</v>
      </c>
      <c r="BV673" s="320">
        <f t="shared" si="54"/>
        <v>3.9988558352402753E-2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2422</v>
      </c>
      <c r="BB674" s="3"/>
      <c r="BC674" s="3"/>
      <c r="BD674" s="3"/>
      <c r="BE674" s="3"/>
      <c r="BF674" s="218"/>
      <c r="BG674" s="316">
        <f t="shared" si="49"/>
        <v>10</v>
      </c>
      <c r="BH674" s="319">
        <f t="shared" si="50"/>
        <v>5.8823529411764705E-2</v>
      </c>
      <c r="BI674" s="320">
        <f t="shared" si="51"/>
        <v>2.3529411764705882E-2</v>
      </c>
      <c r="BJ674" s="3"/>
      <c r="BK674" s="3"/>
      <c r="BL674" s="3"/>
      <c r="BM674" s="3"/>
      <c r="BN674" s="3"/>
      <c r="BO674" s="3"/>
      <c r="BT674" s="316">
        <f t="shared" si="52"/>
        <v>10</v>
      </c>
      <c r="BU674" s="319">
        <f t="shared" si="53"/>
        <v>5.8823529411764705E-2</v>
      </c>
      <c r="BV674" s="320">
        <f t="shared" si="54"/>
        <v>2.3546250561293218E-2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1">
        <f>C635</f>
        <v>0</v>
      </c>
      <c r="H675" s="1451"/>
      <c r="I675" s="1451"/>
      <c r="J675" s="1451"/>
      <c r="K675" s="1451"/>
      <c r="L675" s="1451"/>
      <c r="M675" s="1451"/>
      <c r="N675" s="1451"/>
      <c r="O675" s="1451"/>
      <c r="P675" s="1451"/>
      <c r="Q675" s="1451"/>
      <c r="R675" s="1451"/>
      <c r="T675" s="55" t="s">
        <v>655</v>
      </c>
      <c r="U675" t="s">
        <v>472</v>
      </c>
      <c r="Z675" s="1451">
        <f>C636</f>
        <v>0</v>
      </c>
      <c r="AA675" s="1451"/>
      <c r="AB675" s="1451"/>
      <c r="AC675" s="1451"/>
      <c r="AD675" s="1451"/>
      <c r="AE675" s="1451"/>
      <c r="AF675" s="1451"/>
      <c r="AG675" s="1451"/>
      <c r="AH675" s="1451"/>
      <c r="AI675" s="1451"/>
      <c r="AJ675" s="1451"/>
      <c r="AK675" s="1451"/>
      <c r="AZ675" s="3"/>
      <c r="BA675" s="118">
        <f t="shared" si="48"/>
        <v>2704</v>
      </c>
      <c r="BB675" s="3"/>
      <c r="BC675" s="3"/>
      <c r="BD675" s="3"/>
      <c r="BE675" s="3"/>
      <c r="BF675" s="218"/>
      <c r="BG675" s="316">
        <f t="shared" si="49"/>
        <v>8</v>
      </c>
      <c r="BH675" s="319">
        <f t="shared" si="50"/>
        <v>4.7058823529411764E-2</v>
      </c>
      <c r="BI675" s="320">
        <f t="shared" si="51"/>
        <v>1.8823529411764708E-2</v>
      </c>
      <c r="BJ675" s="3"/>
      <c r="BK675" s="3"/>
      <c r="BL675" s="3"/>
      <c r="BM675" s="3"/>
      <c r="BN675" s="3"/>
      <c r="BO675" s="3"/>
      <c r="BT675" s="316">
        <f t="shared" si="52"/>
        <v>8</v>
      </c>
      <c r="BU675" s="319">
        <f t="shared" si="53"/>
        <v>4.7058823529411764E-2</v>
      </c>
      <c r="BV675" s="320">
        <f t="shared" si="54"/>
        <v>1.8827415359207268E-2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c r="BA676" s="118">
        <f t="shared" si="48"/>
        <v>1748</v>
      </c>
      <c r="BB676" s="3"/>
      <c r="BC676" s="3"/>
      <c r="BD676" s="3"/>
      <c r="BE676" s="3"/>
      <c r="BF676" s="218"/>
      <c r="BG676" s="316">
        <f t="shared" si="49"/>
        <v>2</v>
      </c>
      <c r="BH676" s="319">
        <f t="shared" si="50"/>
        <v>1.1764705882352941E-2</v>
      </c>
      <c r="BI676" s="320">
        <f t="shared" si="51"/>
        <v>4.7058823529411769E-3</v>
      </c>
      <c r="BJ676" s="3"/>
      <c r="BK676" s="3"/>
      <c r="BL676" s="3"/>
      <c r="BM676" s="3"/>
      <c r="BN676" s="3"/>
      <c r="BO676" s="3"/>
      <c r="BT676" s="316">
        <f t="shared" si="52"/>
        <v>2</v>
      </c>
      <c r="BU676" s="319">
        <f t="shared" si="53"/>
        <v>1.1764705882352941E-2</v>
      </c>
      <c r="BV676" s="320">
        <f t="shared" si="54"/>
        <v>4.7076226940480333E-3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06"/>
      <c r="H677" s="1406"/>
      <c r="I677" s="1406"/>
      <c r="J677" s="1406"/>
      <c r="K677" s="1406"/>
      <c r="L677" s="1406"/>
      <c r="M677" s="1406"/>
      <c r="N677" s="1406"/>
      <c r="O677" s="1406"/>
      <c r="P677" s="1406"/>
      <c r="Q677" s="1406"/>
      <c r="R677" s="1406"/>
      <c r="T677" s="22"/>
      <c r="U677" t="s">
        <v>589</v>
      </c>
      <c r="Z677" s="1407"/>
      <c r="AA677" s="1407"/>
      <c r="AB677" s="1407"/>
      <c r="AC677" s="1407"/>
      <c r="AD677" s="1407"/>
      <c r="AE677" s="1407"/>
      <c r="AF677" s="1407"/>
      <c r="AG677" s="1407"/>
      <c r="AH677" s="1407"/>
      <c r="AI677" s="1407"/>
      <c r="AJ677" s="1407"/>
      <c r="AK677" s="1407"/>
      <c r="AZ677" s="3"/>
      <c r="BA677" s="118">
        <f t="shared" si="48"/>
        <v>1748</v>
      </c>
      <c r="BB677" s="3"/>
      <c r="BC677" s="3"/>
      <c r="BD677" s="3"/>
      <c r="BE677" s="3"/>
      <c r="BF677" s="218"/>
      <c r="BG677" s="316">
        <f t="shared" si="49"/>
        <v>4</v>
      </c>
      <c r="BH677" s="319">
        <f t="shared" si="50"/>
        <v>2.3529411764705882E-2</v>
      </c>
      <c r="BI677" s="320">
        <f t="shared" si="51"/>
        <v>1.1764705882352941E-2</v>
      </c>
      <c r="BJ677" s="3"/>
      <c r="BK677" s="3"/>
      <c r="BL677" s="3"/>
      <c r="BM677" s="3"/>
      <c r="BN677" s="3"/>
      <c r="BO677" s="3"/>
      <c r="BT677" s="316">
        <f t="shared" si="52"/>
        <v>4</v>
      </c>
      <c r="BU677" s="319">
        <f t="shared" si="53"/>
        <v>2.3529411764705882E-2</v>
      </c>
      <c r="BV677" s="320">
        <f t="shared" si="54"/>
        <v>1.1764705882352941E-2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6"/>
      <c r="H678" s="1406"/>
      <c r="I678" s="1406"/>
      <c r="J678" s="1406"/>
      <c r="K678" s="1406"/>
      <c r="L678" s="1406"/>
      <c r="M678" s="1406"/>
      <c r="N678" s="1406"/>
      <c r="O678" s="1406"/>
      <c r="P678" s="1406"/>
      <c r="Q678" s="1406"/>
      <c r="R678" s="1406"/>
      <c r="T678" s="22"/>
      <c r="U678" t="s">
        <v>17</v>
      </c>
      <c r="Z678" s="1407"/>
      <c r="AA678" s="1407"/>
      <c r="AB678" s="1407"/>
      <c r="AC678" s="1407"/>
      <c r="AD678" s="1407"/>
      <c r="AE678" s="1407"/>
      <c r="AF678" s="1407"/>
      <c r="AG678" s="1407"/>
      <c r="AH678" s="1407"/>
      <c r="AI678" s="1407"/>
      <c r="AJ678" s="1407"/>
      <c r="AK678" s="1407"/>
      <c r="AZ678" s="3"/>
      <c r="BA678" s="118">
        <f t="shared" si="48"/>
        <v>2096</v>
      </c>
      <c r="BB678" s="3"/>
      <c r="BC678" s="3"/>
      <c r="BD678" s="3"/>
      <c r="BE678" s="3"/>
      <c r="BF678" s="218"/>
      <c r="BG678" s="316">
        <f t="shared" si="49"/>
        <v>20</v>
      </c>
      <c r="BH678" s="319">
        <f t="shared" si="50"/>
        <v>0.11764705882352941</v>
      </c>
      <c r="BI678" s="320">
        <f t="shared" si="51"/>
        <v>5.8823529411764705E-2</v>
      </c>
      <c r="BJ678" s="3"/>
      <c r="BK678" s="3"/>
      <c r="BL678" s="3"/>
      <c r="BM678" s="3"/>
      <c r="BN678" s="3"/>
      <c r="BO678" s="3"/>
      <c r="BT678" s="316">
        <f t="shared" si="52"/>
        <v>20</v>
      </c>
      <c r="BU678" s="319">
        <f t="shared" si="53"/>
        <v>0.11764705882352941</v>
      </c>
      <c r="BV678" s="320">
        <f t="shared" si="54"/>
        <v>5.8823529411764705E-2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5"/>
      <c r="H679" s="1465"/>
      <c r="I679" s="1465"/>
      <c r="J679" s="1465"/>
      <c r="K679" s="1465"/>
      <c r="L679" s="1465"/>
      <c r="O679" s="33" t="s">
        <v>207</v>
      </c>
      <c r="P679" s="1489"/>
      <c r="Q679" s="1489"/>
      <c r="R679" s="1489"/>
      <c r="T679" s="22"/>
      <c r="U679" t="s">
        <v>317</v>
      </c>
      <c r="Z679" s="1465"/>
      <c r="AA679" s="1465"/>
      <c r="AB679" s="1465"/>
      <c r="AC679" s="1465"/>
      <c r="AD679" s="1465"/>
      <c r="AE679" s="1465"/>
      <c r="AH679" s="33" t="s">
        <v>207</v>
      </c>
      <c r="AI679" s="1489"/>
      <c r="AJ679" s="1489"/>
      <c r="AK679" s="1489"/>
      <c r="AZ679" s="3"/>
      <c r="BA679" s="118">
        <f t="shared" si="48"/>
        <v>2096</v>
      </c>
      <c r="BB679" s="3"/>
      <c r="BC679" s="3"/>
      <c r="BD679" s="3"/>
      <c r="BE679" s="3"/>
      <c r="BF679" s="218"/>
      <c r="BG679" s="316">
        <f t="shared" si="49"/>
        <v>8</v>
      </c>
      <c r="BH679" s="319">
        <f t="shared" si="50"/>
        <v>4.7058823529411764E-2</v>
      </c>
      <c r="BI679" s="320">
        <f t="shared" si="51"/>
        <v>2.3529411764705882E-2</v>
      </c>
      <c r="BJ679" s="3"/>
      <c r="BK679" s="3"/>
      <c r="BL679" s="3"/>
      <c r="BM679" s="3"/>
      <c r="BN679" s="3"/>
      <c r="BO679" s="3"/>
      <c r="BT679" s="316">
        <f t="shared" si="52"/>
        <v>8</v>
      </c>
      <c r="BU679" s="319">
        <f t="shared" si="53"/>
        <v>4.7058823529411764E-2</v>
      </c>
      <c r="BV679" s="320">
        <f t="shared" si="54"/>
        <v>2.3529411764705882E-2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c r="BA680" s="118">
        <f t="shared" si="48"/>
        <v>2422</v>
      </c>
      <c r="BB680" s="3"/>
      <c r="BC680" s="3"/>
      <c r="BD680" s="3"/>
      <c r="BE680" s="3"/>
      <c r="BF680" s="218"/>
      <c r="BG680" s="316">
        <f t="shared" si="49"/>
        <v>7</v>
      </c>
      <c r="BH680" s="319">
        <f t="shared" si="50"/>
        <v>4.1176470588235294E-2</v>
      </c>
      <c r="BI680" s="320">
        <f t="shared" si="51"/>
        <v>2.0588235294117647E-2</v>
      </c>
      <c r="BJ680" s="3"/>
      <c r="BK680" s="3"/>
      <c r="BL680" s="3"/>
      <c r="BM680" s="3"/>
      <c r="BN680" s="3"/>
      <c r="BO680" s="3"/>
      <c r="BT680" s="316">
        <f t="shared" si="52"/>
        <v>7</v>
      </c>
      <c r="BU680" s="319">
        <f t="shared" si="53"/>
        <v>4.1176470588235294E-2</v>
      </c>
      <c r="BV680" s="320">
        <f t="shared" si="54"/>
        <v>2.0588235294117647E-2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5" t="s">
        <v>678</v>
      </c>
      <c r="O681" s="1405"/>
      <c r="T681" s="22"/>
      <c r="U681" t="s">
        <v>20</v>
      </c>
      <c r="AG681" s="1405" t="s">
        <v>678</v>
      </c>
      <c r="AH681" s="1405"/>
      <c r="AZ681" s="3"/>
      <c r="BA681" s="118">
        <f t="shared" si="48"/>
        <v>2704</v>
      </c>
      <c r="BB681" s="3"/>
      <c r="BC681" s="3"/>
      <c r="BD681" s="3"/>
      <c r="BE681" s="3"/>
      <c r="BF681" s="218"/>
      <c r="BG681" s="316">
        <f t="shared" si="49"/>
        <v>10</v>
      </c>
      <c r="BH681" s="319">
        <f t="shared" si="50"/>
        <v>5.8823529411764705E-2</v>
      </c>
      <c r="BI681" s="320">
        <f t="shared" si="51"/>
        <v>2.9411764705882353E-2</v>
      </c>
      <c r="BJ681" s="3"/>
      <c r="BK681" s="3"/>
      <c r="BL681" s="3"/>
      <c r="BM681" s="3"/>
      <c r="BN681" s="3"/>
      <c r="BO681" s="3"/>
      <c r="BT681" s="316">
        <f t="shared" si="52"/>
        <v>10</v>
      </c>
      <c r="BU681" s="319">
        <f t="shared" si="53"/>
        <v>5.8823529411764705E-2</v>
      </c>
      <c r="BV681" s="320">
        <f t="shared" si="54"/>
        <v>2.9411764705882353E-2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1748</v>
      </c>
      <c r="BB682" s="3"/>
      <c r="BC682" s="3"/>
      <c r="BD682" s="3"/>
      <c r="BE682" s="3"/>
      <c r="BF682" s="218"/>
      <c r="BG682" s="316">
        <f t="shared" si="49"/>
        <v>4</v>
      </c>
      <c r="BH682" s="319">
        <f t="shared" si="50"/>
        <v>2.3529411764705882E-2</v>
      </c>
      <c r="BI682" s="320">
        <f t="shared" si="51"/>
        <v>1.1764705882352941E-2</v>
      </c>
      <c r="BJ682" s="3"/>
      <c r="BK682" s="3"/>
      <c r="BL682" s="3"/>
      <c r="BM682" s="3"/>
      <c r="BN682" s="3"/>
      <c r="BO682" s="3"/>
      <c r="BT682" s="316">
        <f t="shared" si="52"/>
        <v>4</v>
      </c>
      <c r="BU682" s="319">
        <f t="shared" si="53"/>
        <v>2.3529411764705882E-2</v>
      </c>
      <c r="BV682" s="320">
        <f t="shared" si="54"/>
        <v>1.1764705882352941E-2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1">
        <f>C637</f>
        <v>0</v>
      </c>
      <c r="H683" s="1451"/>
      <c r="I683" s="1451"/>
      <c r="J683" s="1451"/>
      <c r="K683" s="1451"/>
      <c r="L683" s="1451"/>
      <c r="M683" s="1451"/>
      <c r="N683" s="1451"/>
      <c r="O683" s="1451"/>
      <c r="P683" s="1451"/>
      <c r="Q683" s="1451"/>
      <c r="R683" s="1451"/>
      <c r="T683" s="55" t="s">
        <v>364</v>
      </c>
      <c r="U683" t="s">
        <v>472</v>
      </c>
      <c r="Z683" s="1451">
        <f>C638</f>
        <v>0</v>
      </c>
      <c r="AA683" s="1451"/>
      <c r="AB683" s="1451"/>
      <c r="AC683" s="1451"/>
      <c r="AD683" s="1451"/>
      <c r="AE683" s="1451"/>
      <c r="AF683" s="1451"/>
      <c r="AG683" s="1451"/>
      <c r="AH683" s="1451"/>
      <c r="AI683" s="1451"/>
      <c r="AJ683" s="1451"/>
      <c r="AK683" s="1451"/>
      <c r="AZ683" s="3"/>
      <c r="BA683" s="118">
        <f t="shared" si="48"/>
        <v>2096</v>
      </c>
      <c r="BB683" s="3"/>
      <c r="BC683" s="3"/>
      <c r="BD683" s="3"/>
      <c r="BE683" s="3"/>
      <c r="BF683" s="218"/>
      <c r="BG683" s="316">
        <f t="shared" si="49"/>
        <v>17</v>
      </c>
      <c r="BH683" s="319">
        <f t="shared" si="50"/>
        <v>0.1</v>
      </c>
      <c r="BI683" s="320">
        <f t="shared" si="51"/>
        <v>0.06</v>
      </c>
      <c r="BJ683" s="3"/>
      <c r="BK683" s="3"/>
      <c r="BL683" s="3"/>
      <c r="BM683" s="3"/>
      <c r="BN683" s="3"/>
      <c r="BO683" s="3"/>
      <c r="BT683" s="316">
        <f t="shared" si="52"/>
        <v>17</v>
      </c>
      <c r="BU683" s="319">
        <f t="shared" si="53"/>
        <v>0.1</v>
      </c>
      <c r="BV683" s="320">
        <f t="shared" si="54"/>
        <v>6.0011441647597252E-2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c r="BA684" s="118">
        <f t="shared" si="48"/>
        <v>2422</v>
      </c>
      <c r="BB684" s="3"/>
      <c r="BC684" s="3"/>
      <c r="BD684" s="3"/>
      <c r="BE684" s="3"/>
      <c r="BF684" s="218"/>
      <c r="BG684" s="316">
        <f t="shared" si="49"/>
        <v>10</v>
      </c>
      <c r="BH684" s="319">
        <f t="shared" si="50"/>
        <v>5.8823529411764705E-2</v>
      </c>
      <c r="BI684" s="320">
        <f t="shared" si="51"/>
        <v>3.5294117647058823E-2</v>
      </c>
      <c r="BJ684" s="3"/>
      <c r="BK684" s="3"/>
      <c r="BL684" s="3"/>
      <c r="BM684" s="3"/>
      <c r="BN684" s="3"/>
      <c r="BO684" s="3"/>
      <c r="BT684" s="316">
        <f t="shared" si="52"/>
        <v>10</v>
      </c>
      <c r="BU684" s="319">
        <f t="shared" si="53"/>
        <v>5.8823529411764705E-2</v>
      </c>
      <c r="BV684" s="320">
        <f t="shared" si="54"/>
        <v>3.5305343511450378E-2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06"/>
      <c r="H685" s="1406"/>
      <c r="I685" s="1406"/>
      <c r="J685" s="1406"/>
      <c r="K685" s="1406"/>
      <c r="L685" s="1406"/>
      <c r="M685" s="1406"/>
      <c r="N685" s="1406"/>
      <c r="O685" s="1406"/>
      <c r="P685" s="1406"/>
      <c r="Q685" s="1406"/>
      <c r="R685" s="1406"/>
      <c r="U685" t="s">
        <v>589</v>
      </c>
      <c r="Z685" s="1407"/>
      <c r="AA685" s="1407"/>
      <c r="AB685" s="1407"/>
      <c r="AC685" s="1407"/>
      <c r="AD685" s="1407"/>
      <c r="AE685" s="1407"/>
      <c r="AF685" s="1407"/>
      <c r="AG685" s="1407"/>
      <c r="AH685" s="1407"/>
      <c r="AI685" s="1407"/>
      <c r="AJ685" s="1407"/>
      <c r="AK685" s="1407"/>
      <c r="AZ685" s="3"/>
      <c r="BA685" s="118">
        <f t="shared" si="48"/>
        <v>1748</v>
      </c>
      <c r="BB685" s="3"/>
      <c r="BC685" s="3"/>
      <c r="BD685" s="3"/>
      <c r="BE685" s="3"/>
      <c r="BF685" s="218"/>
      <c r="BG685" s="316">
        <f t="shared" si="49"/>
        <v>9</v>
      </c>
      <c r="BH685" s="319">
        <f t="shared" si="50"/>
        <v>5.2941176470588235E-2</v>
      </c>
      <c r="BI685" s="320">
        <f t="shared" si="51"/>
        <v>3.1764705882352938E-2</v>
      </c>
      <c r="BJ685" s="3"/>
      <c r="BK685" s="3"/>
      <c r="BL685" s="3"/>
      <c r="BM685" s="3"/>
      <c r="BN685" s="3"/>
      <c r="BO685" s="3"/>
      <c r="BT685" s="316">
        <f t="shared" si="52"/>
        <v>9</v>
      </c>
      <c r="BU685" s="319">
        <f t="shared" si="53"/>
        <v>5.2941176470588235E-2</v>
      </c>
      <c r="BV685" s="320">
        <f t="shared" si="54"/>
        <v>3.1782192645844462E-2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6"/>
      <c r="H686" s="1406"/>
      <c r="I686" s="1406"/>
      <c r="J686" s="1406"/>
      <c r="K686" s="1406"/>
      <c r="L686" s="1406"/>
      <c r="M686" s="1406"/>
      <c r="N686" s="1406"/>
      <c r="O686" s="1406"/>
      <c r="P686" s="1406"/>
      <c r="Q686" s="1406"/>
      <c r="R686" s="1406"/>
      <c r="U686" t="s">
        <v>17</v>
      </c>
      <c r="Z686" s="1407"/>
      <c r="AA686" s="1407"/>
      <c r="AB686" s="1407"/>
      <c r="AC686" s="1407"/>
      <c r="AD686" s="1407"/>
      <c r="AE686" s="1407"/>
      <c r="AF686" s="1407"/>
      <c r="AG686" s="1407"/>
      <c r="AH686" s="1407"/>
      <c r="AI686" s="1407"/>
      <c r="AJ686" s="1407"/>
      <c r="AK686" s="1407"/>
      <c r="AZ686" s="3"/>
      <c r="BA686" s="118">
        <f t="shared" si="48"/>
        <v>2096</v>
      </c>
      <c r="BB686" s="3"/>
      <c r="BC686" s="3"/>
      <c r="BD686" s="3"/>
      <c r="BE686" s="3"/>
      <c r="BF686" s="218"/>
      <c r="BG686" s="316">
        <f t="shared" si="49"/>
        <v>8</v>
      </c>
      <c r="BH686" s="319">
        <f t="shared" si="50"/>
        <v>4.7058823529411764E-2</v>
      </c>
      <c r="BI686" s="320">
        <f t="shared" si="51"/>
        <v>3.2941176470588231E-2</v>
      </c>
      <c r="BJ686" s="3"/>
      <c r="BK686" s="3"/>
      <c r="BL686" s="3"/>
      <c r="BM686" s="3"/>
      <c r="BN686" s="3"/>
      <c r="BO686" s="3"/>
      <c r="BT686" s="316">
        <f t="shared" si="52"/>
        <v>8</v>
      </c>
      <c r="BU686" s="319">
        <f t="shared" si="53"/>
        <v>4.7058823529411764E-2</v>
      </c>
      <c r="BV686" s="320">
        <f t="shared" si="54"/>
        <v>3.2951945080091534E-2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5"/>
      <c r="H687" s="1465"/>
      <c r="I687" s="1465"/>
      <c r="J687" s="1465"/>
      <c r="K687" s="1465"/>
      <c r="L687" s="1465"/>
      <c r="O687" s="33" t="s">
        <v>207</v>
      </c>
      <c r="P687" s="1489"/>
      <c r="Q687" s="1489"/>
      <c r="R687" s="1489"/>
      <c r="U687" t="s">
        <v>317</v>
      </c>
      <c r="Z687" s="1465"/>
      <c r="AA687" s="1465"/>
      <c r="AB687" s="1465"/>
      <c r="AC687" s="1465"/>
      <c r="AD687" s="1465"/>
      <c r="AE687" s="1465"/>
      <c r="AH687" s="33" t="s">
        <v>207</v>
      </c>
      <c r="AI687" s="1489"/>
      <c r="AJ687" s="1489"/>
      <c r="AK687" s="1489"/>
      <c r="AZ687" s="3"/>
      <c r="BA687" s="118">
        <f t="shared" si="48"/>
        <v>2422</v>
      </c>
      <c r="BB687" s="3"/>
      <c r="BC687" s="3"/>
      <c r="BD687" s="3"/>
      <c r="BE687" s="3"/>
      <c r="BF687" s="218"/>
      <c r="BG687" s="316">
        <f t="shared" si="49"/>
        <v>8</v>
      </c>
      <c r="BH687" s="319">
        <f t="shared" si="50"/>
        <v>4.7058823529411764E-2</v>
      </c>
      <c r="BI687" s="320">
        <f t="shared" si="51"/>
        <v>3.2941176470588231E-2</v>
      </c>
      <c r="BJ687" s="3"/>
      <c r="BK687" s="3"/>
      <c r="BL687" s="3"/>
      <c r="BM687" s="3"/>
      <c r="BN687" s="3"/>
      <c r="BO687" s="3"/>
      <c r="BT687" s="316">
        <f t="shared" si="52"/>
        <v>8</v>
      </c>
      <c r="BU687" s="319">
        <f t="shared" si="53"/>
        <v>4.7058823529411764E-2</v>
      </c>
      <c r="BV687" s="320">
        <f t="shared" si="54"/>
        <v>3.2959137853614727E-2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c r="BA688" s="118" t="str">
        <f t="shared" si="48"/>
        <v>N/A</v>
      </c>
      <c r="BB688" s="3"/>
      <c r="BF688" s="218"/>
      <c r="BG688" s="316">
        <f t="shared" si="49"/>
        <v>5</v>
      </c>
      <c r="BH688" s="319">
        <f t="shared" si="50"/>
        <v>2.9411764705882353E-2</v>
      </c>
      <c r="BI688" s="320">
        <f t="shared" si="51"/>
        <v>2.0588235294117647E-2</v>
      </c>
      <c r="BL688" s="3"/>
      <c r="BM688" s="3"/>
      <c r="BN688" s="3"/>
      <c r="BO688" s="3"/>
      <c r="BT688" s="316">
        <f t="shared" si="52"/>
        <v>5</v>
      </c>
      <c r="BU688" s="319">
        <f t="shared" si="53"/>
        <v>2.9411764705882353E-2</v>
      </c>
      <c r="BV688" s="320">
        <f t="shared" si="54"/>
        <v>2.0595521445572446E-2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5" t="s">
        <v>678</v>
      </c>
      <c r="O689" s="1405"/>
      <c r="U689" t="s">
        <v>20</v>
      </c>
      <c r="AG689" s="1405" t="s">
        <v>678</v>
      </c>
      <c r="AH689" s="140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5" t="s">
        <v>554</v>
      </c>
      <c r="AF693" s="140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5" t="s">
        <v>678</v>
      </c>
      <c r="AF694" s="140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8">
        <v>45405</v>
      </c>
      <c r="AF695" s="1478"/>
      <c r="AG695" s="1478"/>
      <c r="AH695" s="1478"/>
      <c r="AI695" s="147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77">
        <v>45511</v>
      </c>
      <c r="AF696" s="1877"/>
      <c r="AG696" s="1877"/>
      <c r="AH696" s="1877"/>
      <c r="AI696" s="187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8">
        <v>45688</v>
      </c>
      <c r="AF698" s="1478"/>
      <c r="AG698" s="1478"/>
      <c r="AH698" s="1478"/>
      <c r="AI698" s="147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4">
        <v>0.50280000000000002</v>
      </c>
      <c r="AF699" s="1774"/>
      <c r="AG699" s="1774"/>
      <c r="AH699" s="1774"/>
      <c r="AI699" s="177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1" t="str">
        <f>H335</f>
        <v>California Municipal Finance Auth.</v>
      </c>
      <c r="X700" s="1451"/>
      <c r="Y700" s="1451"/>
      <c r="Z700" s="1451"/>
      <c r="AA700" s="1451"/>
      <c r="AB700" s="1451"/>
      <c r="AC700" s="1451"/>
      <c r="AD700" s="1451"/>
      <c r="AE700" s="1451"/>
      <c r="AF700" s="1451"/>
      <c r="AG700" s="1451"/>
      <c r="AH700" s="1451"/>
      <c r="AI700" s="1451"/>
      <c r="AJ700" s="1451"/>
      <c r="AK700" s="145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5" t="s">
        <v>678</v>
      </c>
      <c r="AF702" s="140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34"/>
      <c r="BA703" s="34"/>
      <c r="BB703" s="34"/>
      <c r="BC703" s="34"/>
      <c r="BD703" s="34"/>
      <c r="BE703" s="3"/>
      <c r="BF703" s="312" t="s">
        <v>915</v>
      </c>
      <c r="BG703" s="321">
        <f>SUM(BG668:BG702)</f>
        <v>170</v>
      </c>
      <c r="BH703" s="322">
        <f>SUM(BH668:BH702)</f>
        <v>1</v>
      </c>
      <c r="BI703" s="322">
        <f>SUM(BI668:BI702)</f>
        <v>0.5</v>
      </c>
      <c r="BN703" s="3"/>
      <c r="BO703" s="3"/>
      <c r="BT703" s="893">
        <f>SUM(BT668:BT702)</f>
        <v>170</v>
      </c>
      <c r="BU703" s="322">
        <f>SUM(BU668:BU702)</f>
        <v>1</v>
      </c>
      <c r="BV703" s="322">
        <f>SUM(BV668:BV702)</f>
        <v>0.50008022837620625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5"/>
      <c r="K705" s="1465"/>
      <c r="L705" s="1465"/>
      <c r="M705" s="1465"/>
      <c r="N705" s="1465"/>
      <c r="O705" s="1465"/>
      <c r="P705" s="4" t="s">
        <v>207</v>
      </c>
      <c r="Q705" s="4"/>
      <c r="R705" s="1489"/>
      <c r="S705" s="1489"/>
      <c r="T705" s="148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06" t="s">
        <v>308</v>
      </c>
      <c r="X706" s="1406"/>
      <c r="Y706" s="1406"/>
      <c r="Z706" s="1406"/>
      <c r="AA706" s="1406"/>
      <c r="AB706" s="1406"/>
      <c r="AC706" s="1406"/>
      <c r="AD706" s="1406"/>
      <c r="AE706" s="1406"/>
      <c r="AF706" s="1406"/>
      <c r="AG706" s="1406"/>
      <c r="AH706" s="1406"/>
      <c r="AI706" s="1406"/>
      <c r="AJ706" s="1406"/>
      <c r="AK706" s="140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6" t="s">
        <v>335</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2" t="s">
        <v>390</v>
      </c>
      <c r="C714" s="1373"/>
      <c r="D714" s="1373"/>
      <c r="E714" s="1373"/>
      <c r="F714" s="1374"/>
      <c r="G714" s="1372" t="s">
        <v>286</v>
      </c>
      <c r="H714" s="1373"/>
      <c r="I714" s="1373"/>
      <c r="J714" s="1374"/>
      <c r="K714" s="1765" t="s">
        <v>1869</v>
      </c>
      <c r="L714" s="1766"/>
      <c r="M714" s="1766"/>
      <c r="N714" s="1767"/>
      <c r="O714" s="1372" t="s">
        <v>456</v>
      </c>
      <c r="P714" s="1373"/>
      <c r="Q714" s="1373"/>
      <c r="R714" s="1373"/>
      <c r="S714" s="1374"/>
      <c r="T714" s="1477" t="s">
        <v>2248</v>
      </c>
      <c r="U714" s="1373"/>
      <c r="V714" s="1373"/>
      <c r="W714" s="1374"/>
      <c r="X714" s="1477" t="s">
        <v>2250</v>
      </c>
      <c r="Y714" s="1373"/>
      <c r="Z714" s="1373"/>
      <c r="AA714" s="1373"/>
      <c r="AB714" s="1374"/>
      <c r="AC714" s="1477" t="s">
        <v>2249</v>
      </c>
      <c r="AD714" s="1373"/>
      <c r="AE714" s="1373"/>
      <c r="AF714" s="1373"/>
      <c r="AG714" s="1374"/>
      <c r="AH714" s="1477" t="s">
        <v>2251</v>
      </c>
      <c r="AI714" s="1373"/>
      <c r="AJ714" s="1374"/>
      <c r="AK714" s="1477" t="s">
        <v>2285</v>
      </c>
      <c r="AL714" s="1373"/>
      <c r="AM714" s="1373"/>
      <c r="AN714" s="1373"/>
      <c r="AO714" s="137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5"/>
      <c r="C715" s="1376"/>
      <c r="D715" s="1376"/>
      <c r="E715" s="1376"/>
      <c r="F715" s="1377"/>
      <c r="G715" s="1375"/>
      <c r="H715" s="1376"/>
      <c r="I715" s="1376"/>
      <c r="J715" s="1377"/>
      <c r="K715" s="1768"/>
      <c r="L715" s="1769"/>
      <c r="M715" s="1769"/>
      <c r="N715" s="1770"/>
      <c r="O715" s="1375"/>
      <c r="P715" s="1376"/>
      <c r="Q715" s="1376"/>
      <c r="R715" s="1376"/>
      <c r="S715" s="1377"/>
      <c r="T715" s="1375"/>
      <c r="U715" s="1376"/>
      <c r="V715" s="1376"/>
      <c r="W715" s="1377"/>
      <c r="X715" s="1375"/>
      <c r="Y715" s="1376"/>
      <c r="Z715" s="1376"/>
      <c r="AA715" s="1376"/>
      <c r="AB715" s="1377"/>
      <c r="AC715" s="1375"/>
      <c r="AD715" s="1376"/>
      <c r="AE715" s="1376"/>
      <c r="AF715" s="1376"/>
      <c r="AG715" s="1377"/>
      <c r="AH715" s="1375"/>
      <c r="AI715" s="1376"/>
      <c r="AJ715" s="1377"/>
      <c r="AK715" s="1375"/>
      <c r="AL715" s="1376"/>
      <c r="AM715" s="1376"/>
      <c r="AN715" s="1376"/>
      <c r="AO715" s="137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5"/>
      <c r="C716" s="1376"/>
      <c r="D716" s="1376"/>
      <c r="E716" s="1376"/>
      <c r="F716" s="1377"/>
      <c r="G716" s="1375"/>
      <c r="H716" s="1376"/>
      <c r="I716" s="1376"/>
      <c r="J716" s="1377"/>
      <c r="K716" s="1768"/>
      <c r="L716" s="1769"/>
      <c r="M716" s="1769"/>
      <c r="N716" s="1770"/>
      <c r="O716" s="1375"/>
      <c r="P716" s="1376"/>
      <c r="Q716" s="1376"/>
      <c r="R716" s="1376"/>
      <c r="S716" s="1377"/>
      <c r="T716" s="1375"/>
      <c r="U716" s="1376"/>
      <c r="V716" s="1376"/>
      <c r="W716" s="1377"/>
      <c r="X716" s="1375"/>
      <c r="Y716" s="1376"/>
      <c r="Z716" s="1376"/>
      <c r="AA716" s="1376"/>
      <c r="AB716" s="1377"/>
      <c r="AC716" s="1375"/>
      <c r="AD716" s="1376"/>
      <c r="AE716" s="1376"/>
      <c r="AF716" s="1376"/>
      <c r="AG716" s="1377"/>
      <c r="AH716" s="1375"/>
      <c r="AI716" s="1376"/>
      <c r="AJ716" s="1377"/>
      <c r="AK716" s="1375"/>
      <c r="AL716" s="1376"/>
      <c r="AM716" s="1376"/>
      <c r="AN716" s="1376"/>
      <c r="AO716" s="137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8"/>
      <c r="C717" s="1379"/>
      <c r="D717" s="1379"/>
      <c r="E717" s="1379"/>
      <c r="F717" s="1380"/>
      <c r="G717" s="1378"/>
      <c r="H717" s="1379"/>
      <c r="I717" s="1379"/>
      <c r="J717" s="1380"/>
      <c r="K717" s="1768"/>
      <c r="L717" s="1769"/>
      <c r="M717" s="1769"/>
      <c r="N717" s="1770"/>
      <c r="O717" s="1378"/>
      <c r="P717" s="1379"/>
      <c r="Q717" s="1379"/>
      <c r="R717" s="1379"/>
      <c r="S717" s="1380"/>
      <c r="T717" s="1378"/>
      <c r="U717" s="1379"/>
      <c r="V717" s="1379"/>
      <c r="W717" s="1380"/>
      <c r="X717" s="1378"/>
      <c r="Y717" s="1379"/>
      <c r="Z717" s="1379"/>
      <c r="AA717" s="1379"/>
      <c r="AB717" s="1380"/>
      <c r="AC717" s="1378"/>
      <c r="AD717" s="1379"/>
      <c r="AE717" s="1379"/>
      <c r="AF717" s="1379"/>
      <c r="AG717" s="1380"/>
      <c r="AH717" s="1378"/>
      <c r="AI717" s="1379"/>
      <c r="AJ717" s="1380"/>
      <c r="AK717" s="1378"/>
      <c r="AL717" s="1379"/>
      <c r="AM717" s="1379"/>
      <c r="AN717" s="1379"/>
      <c r="AO717" s="138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3" t="s">
        <v>326</v>
      </c>
      <c r="C718" s="1394"/>
      <c r="D718" s="1394"/>
      <c r="E718" s="1394"/>
      <c r="F718" s="1395"/>
      <c r="G718" s="1357">
        <v>7</v>
      </c>
      <c r="H718" s="1358"/>
      <c r="I718" s="1358"/>
      <c r="J718" s="1359"/>
      <c r="K718" s="1475" t="s">
        <v>2783</v>
      </c>
      <c r="L718" s="1361"/>
      <c r="M718" s="1361"/>
      <c r="N718" s="1362"/>
      <c r="O718" s="1369">
        <v>461</v>
      </c>
      <c r="P718" s="1370"/>
      <c r="Q718" s="1370"/>
      <c r="R718" s="1370"/>
      <c r="S718" s="1371"/>
      <c r="T718" s="1369">
        <v>63</v>
      </c>
      <c r="U718" s="1370"/>
      <c r="V718" s="1370"/>
      <c r="W718" s="1371"/>
      <c r="X718" s="1389">
        <f t="shared" ref="X718:X741" si="59">O718+T718</f>
        <v>524</v>
      </c>
      <c r="Y718" s="1390"/>
      <c r="Z718" s="1390"/>
      <c r="AA718" s="1390"/>
      <c r="AB718" s="1391"/>
      <c r="AC718" s="1408">
        <v>0.3</v>
      </c>
      <c r="AD718" s="1409"/>
      <c r="AE718" s="1409"/>
      <c r="AF718" s="1409"/>
      <c r="AG718" s="1410"/>
      <c r="AH718" s="1400">
        <f t="shared" ref="AH718:AH751" si="60">IF($AC718&gt;0,($X718/$BA667), "")</f>
        <v>0.2997711670480549</v>
      </c>
      <c r="AI718" s="1401"/>
      <c r="AJ718" s="1402"/>
      <c r="AK718" s="1393" t="s">
        <v>600</v>
      </c>
      <c r="AL718" s="1394"/>
      <c r="AM718" s="1394"/>
      <c r="AN718" s="1394"/>
      <c r="AO718" s="139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3" t="s">
        <v>163</v>
      </c>
      <c r="C719" s="1394"/>
      <c r="D719" s="1394"/>
      <c r="E719" s="1394"/>
      <c r="F719" s="1395"/>
      <c r="G719" s="1357">
        <v>5</v>
      </c>
      <c r="H719" s="1358"/>
      <c r="I719" s="1358"/>
      <c r="J719" s="1359"/>
      <c r="K719" s="1360">
        <v>866</v>
      </c>
      <c r="L719" s="1361"/>
      <c r="M719" s="1361"/>
      <c r="N719" s="1362"/>
      <c r="O719" s="1369">
        <v>538</v>
      </c>
      <c r="P719" s="1370"/>
      <c r="Q719" s="1370"/>
      <c r="R719" s="1370"/>
      <c r="S719" s="1371"/>
      <c r="T719" s="1369">
        <v>91</v>
      </c>
      <c r="U719" s="1370"/>
      <c r="V719" s="1370"/>
      <c r="W719" s="1371"/>
      <c r="X719" s="1389">
        <f t="shared" si="59"/>
        <v>629</v>
      </c>
      <c r="Y719" s="1390"/>
      <c r="Z719" s="1390"/>
      <c r="AA719" s="1390"/>
      <c r="AB719" s="1391"/>
      <c r="AC719" s="1408">
        <v>0.3</v>
      </c>
      <c r="AD719" s="1409"/>
      <c r="AE719" s="1409"/>
      <c r="AF719" s="1409"/>
      <c r="AG719" s="1410"/>
      <c r="AH719" s="1400">
        <f t="shared" si="60"/>
        <v>0.30009541984732824</v>
      </c>
      <c r="AI719" s="1401"/>
      <c r="AJ719" s="1402"/>
      <c r="AK719" s="1393" t="s">
        <v>600</v>
      </c>
      <c r="AL719" s="1394"/>
      <c r="AM719" s="1394"/>
      <c r="AN719" s="1394"/>
      <c r="AO719" s="139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3" t="s">
        <v>164</v>
      </c>
      <c r="C720" s="1394"/>
      <c r="D720" s="1394"/>
      <c r="E720" s="1394"/>
      <c r="F720" s="1395"/>
      <c r="G720" s="1357">
        <v>4</v>
      </c>
      <c r="H720" s="1358"/>
      <c r="I720" s="1358"/>
      <c r="J720" s="1359"/>
      <c r="K720" s="1475" t="s">
        <v>2784</v>
      </c>
      <c r="L720" s="1361"/>
      <c r="M720" s="1361"/>
      <c r="N720" s="1362"/>
      <c r="O720" s="1369">
        <v>610</v>
      </c>
      <c r="P720" s="1370"/>
      <c r="Q720" s="1370"/>
      <c r="R720" s="1370"/>
      <c r="S720" s="1371"/>
      <c r="T720" s="1369">
        <v>117</v>
      </c>
      <c r="U720" s="1370"/>
      <c r="V720" s="1370"/>
      <c r="W720" s="1371"/>
      <c r="X720" s="1389">
        <f t="shared" si="59"/>
        <v>727</v>
      </c>
      <c r="Y720" s="1390"/>
      <c r="Z720" s="1390"/>
      <c r="AA720" s="1390"/>
      <c r="AB720" s="1391"/>
      <c r="AC720" s="1408">
        <v>0.3</v>
      </c>
      <c r="AD720" s="1409"/>
      <c r="AE720" s="1409"/>
      <c r="AF720" s="1409"/>
      <c r="AG720" s="1410"/>
      <c r="AH720" s="1400">
        <f t="shared" si="60"/>
        <v>0.30016515276630884</v>
      </c>
      <c r="AI720" s="1401"/>
      <c r="AJ720" s="1402"/>
      <c r="AK720" s="1393" t="s">
        <v>600</v>
      </c>
      <c r="AL720" s="1394"/>
      <c r="AM720" s="1394"/>
      <c r="AN720" s="1394"/>
      <c r="AO720" s="139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3" t="s">
        <v>165</v>
      </c>
      <c r="C721" s="1394"/>
      <c r="D721" s="1394"/>
      <c r="E721" s="1394"/>
      <c r="F721" s="1395"/>
      <c r="G721" s="1357">
        <v>2</v>
      </c>
      <c r="H721" s="1358"/>
      <c r="I721" s="1358"/>
      <c r="J721" s="1359"/>
      <c r="K721" s="1360">
        <v>1300</v>
      </c>
      <c r="L721" s="1361"/>
      <c r="M721" s="1361"/>
      <c r="N721" s="1362"/>
      <c r="O721" s="1369">
        <v>666</v>
      </c>
      <c r="P721" s="1370"/>
      <c r="Q721" s="1370"/>
      <c r="R721" s="1370"/>
      <c r="S721" s="1371"/>
      <c r="T721" s="1369">
        <v>145</v>
      </c>
      <c r="U721" s="1370"/>
      <c r="V721" s="1370"/>
      <c r="W721" s="1371"/>
      <c r="X721" s="1389">
        <f t="shared" si="59"/>
        <v>811</v>
      </c>
      <c r="Y721" s="1390"/>
      <c r="Z721" s="1390"/>
      <c r="AA721" s="1390"/>
      <c r="AB721" s="1391"/>
      <c r="AC721" s="1408">
        <v>0.3</v>
      </c>
      <c r="AD721" s="1409"/>
      <c r="AE721" s="1409"/>
      <c r="AF721" s="1409"/>
      <c r="AG721" s="1410"/>
      <c r="AH721" s="1400">
        <f t="shared" si="60"/>
        <v>0.2999260355029586</v>
      </c>
      <c r="AI721" s="1401"/>
      <c r="AJ721" s="1402"/>
      <c r="AK721" s="1393" t="s">
        <v>600</v>
      </c>
      <c r="AL721" s="1394"/>
      <c r="AM721" s="1394"/>
      <c r="AN721" s="1394"/>
      <c r="AO721" s="139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3" t="s">
        <v>326</v>
      </c>
      <c r="C722" s="1394"/>
      <c r="D722" s="1394"/>
      <c r="E722" s="1394"/>
      <c r="F722" s="1395"/>
      <c r="G722" s="1357">
        <v>5</v>
      </c>
      <c r="H722" s="1358"/>
      <c r="I722" s="1358"/>
      <c r="J722" s="1359"/>
      <c r="K722" s="1360" t="str">
        <f>K718</f>
        <v>616-663</v>
      </c>
      <c r="L722" s="1361"/>
      <c r="M722" s="1361"/>
      <c r="N722" s="1362"/>
      <c r="O722" s="1369">
        <v>636</v>
      </c>
      <c r="P722" s="1370"/>
      <c r="Q722" s="1370"/>
      <c r="R722" s="1370"/>
      <c r="S722" s="1371"/>
      <c r="T722" s="1369">
        <v>63</v>
      </c>
      <c r="U722" s="1370"/>
      <c r="V722" s="1370"/>
      <c r="W722" s="1371"/>
      <c r="X722" s="1389">
        <f t="shared" si="59"/>
        <v>699</v>
      </c>
      <c r="Y722" s="1390"/>
      <c r="Z722" s="1390"/>
      <c r="AA722" s="1390"/>
      <c r="AB722" s="1391"/>
      <c r="AC722" s="1408">
        <v>0.4</v>
      </c>
      <c r="AD722" s="1409"/>
      <c r="AE722" s="1409"/>
      <c r="AF722" s="1409"/>
      <c r="AG722" s="1410"/>
      <c r="AH722" s="1400">
        <f t="shared" si="60"/>
        <v>0.39988558352402748</v>
      </c>
      <c r="AI722" s="1401"/>
      <c r="AJ722" s="1402"/>
      <c r="AK722" s="1393" t="s">
        <v>600</v>
      </c>
      <c r="AL722" s="1394"/>
      <c r="AM722" s="1394"/>
      <c r="AN722" s="1394"/>
      <c r="AO722" s="139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3" t="s">
        <v>326</v>
      </c>
      <c r="C723" s="1394"/>
      <c r="D723" s="1394"/>
      <c r="E723" s="1394"/>
      <c r="F723" s="1395"/>
      <c r="G723" s="1357">
        <v>17</v>
      </c>
      <c r="H723" s="1358"/>
      <c r="I723" s="1358"/>
      <c r="J723" s="1359"/>
      <c r="K723" s="1360" t="str">
        <f>K718</f>
        <v>616-663</v>
      </c>
      <c r="L723" s="1361"/>
      <c r="M723" s="1361"/>
      <c r="N723" s="1362"/>
      <c r="O723" s="1369">
        <v>636</v>
      </c>
      <c r="P723" s="1370"/>
      <c r="Q723" s="1370"/>
      <c r="R723" s="1370"/>
      <c r="S723" s="1371"/>
      <c r="T723" s="1369">
        <f>T718</f>
        <v>63</v>
      </c>
      <c r="U723" s="1370"/>
      <c r="V723" s="1370"/>
      <c r="W723" s="1371"/>
      <c r="X723" s="1389">
        <f t="shared" si="59"/>
        <v>699</v>
      </c>
      <c r="Y723" s="1390"/>
      <c r="Z723" s="1390"/>
      <c r="AA723" s="1390"/>
      <c r="AB723" s="1391"/>
      <c r="AC723" s="1408">
        <v>0.4</v>
      </c>
      <c r="AD723" s="1409"/>
      <c r="AE723" s="1409"/>
      <c r="AF723" s="1409"/>
      <c r="AG723" s="1410"/>
      <c r="AH723" s="1400">
        <f t="shared" si="60"/>
        <v>0.39988558352402748</v>
      </c>
      <c r="AI723" s="1401"/>
      <c r="AJ723" s="1402"/>
      <c r="AK723" s="1393" t="s">
        <v>600</v>
      </c>
      <c r="AL723" s="1394"/>
      <c r="AM723" s="1394"/>
      <c r="AN723" s="1394"/>
      <c r="AO723" s="139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3" t="s">
        <v>163</v>
      </c>
      <c r="C724" s="1394"/>
      <c r="D724" s="1394"/>
      <c r="E724" s="1394"/>
      <c r="F724" s="1395"/>
      <c r="G724" s="1357">
        <v>10</v>
      </c>
      <c r="H724" s="1358"/>
      <c r="I724" s="1358"/>
      <c r="J724" s="1359"/>
      <c r="K724" s="1360">
        <f>K719</f>
        <v>866</v>
      </c>
      <c r="L724" s="1361"/>
      <c r="M724" s="1361"/>
      <c r="N724" s="1362"/>
      <c r="O724" s="1369">
        <v>748</v>
      </c>
      <c r="P724" s="1370"/>
      <c r="Q724" s="1370"/>
      <c r="R724" s="1370"/>
      <c r="S724" s="1371"/>
      <c r="T724" s="1369">
        <f>T719</f>
        <v>91</v>
      </c>
      <c r="U724" s="1370"/>
      <c r="V724" s="1370"/>
      <c r="W724" s="1371"/>
      <c r="X724" s="1389">
        <f t="shared" si="59"/>
        <v>839</v>
      </c>
      <c r="Y724" s="1390"/>
      <c r="Z724" s="1390"/>
      <c r="AA724" s="1390"/>
      <c r="AB724" s="1391"/>
      <c r="AC724" s="1408">
        <v>0.4</v>
      </c>
      <c r="AD724" s="1409"/>
      <c r="AE724" s="1409"/>
      <c r="AF724" s="1409"/>
      <c r="AG724" s="1410"/>
      <c r="AH724" s="1400">
        <f t="shared" si="60"/>
        <v>0.40028625954198471</v>
      </c>
      <c r="AI724" s="1401"/>
      <c r="AJ724" s="1402"/>
      <c r="AK724" s="1393" t="s">
        <v>600</v>
      </c>
      <c r="AL724" s="1394"/>
      <c r="AM724" s="1394"/>
      <c r="AN724" s="1394"/>
      <c r="AO724" s="139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3" t="s">
        <v>164</v>
      </c>
      <c r="C725" s="1394"/>
      <c r="D725" s="1394"/>
      <c r="E725" s="1394"/>
      <c r="F725" s="1395"/>
      <c r="G725" s="1357">
        <v>8</v>
      </c>
      <c r="H725" s="1358"/>
      <c r="I725" s="1358"/>
      <c r="J725" s="1359"/>
      <c r="K725" s="1360" t="str">
        <f>K720</f>
        <v>1175-1199</v>
      </c>
      <c r="L725" s="1361"/>
      <c r="M725" s="1361"/>
      <c r="N725" s="1362"/>
      <c r="O725" s="1369">
        <v>852</v>
      </c>
      <c r="P725" s="1370"/>
      <c r="Q725" s="1370"/>
      <c r="R725" s="1370"/>
      <c r="S725" s="1371"/>
      <c r="T725" s="1369">
        <f>T720</f>
        <v>117</v>
      </c>
      <c r="U725" s="1370"/>
      <c r="V725" s="1370"/>
      <c r="W725" s="1371"/>
      <c r="X725" s="1389">
        <f t="shared" si="59"/>
        <v>969</v>
      </c>
      <c r="Y725" s="1390"/>
      <c r="Z725" s="1390"/>
      <c r="AA725" s="1390"/>
      <c r="AB725" s="1391"/>
      <c r="AC725" s="1408">
        <v>0.4</v>
      </c>
      <c r="AD725" s="1409"/>
      <c r="AE725" s="1409"/>
      <c r="AF725" s="1409"/>
      <c r="AG725" s="1410"/>
      <c r="AH725" s="1400">
        <f t="shared" si="60"/>
        <v>0.40008257638315442</v>
      </c>
      <c r="AI725" s="1401"/>
      <c r="AJ725" s="1402"/>
      <c r="AK725" s="1393" t="s">
        <v>600</v>
      </c>
      <c r="AL725" s="1394"/>
      <c r="AM725" s="1394"/>
      <c r="AN725" s="1394"/>
      <c r="AO725" s="139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3" t="s">
        <v>165</v>
      </c>
      <c r="C726" s="1394"/>
      <c r="D726" s="1394"/>
      <c r="E726" s="1394"/>
      <c r="F726" s="1395"/>
      <c r="G726" s="1357">
        <v>2</v>
      </c>
      <c r="H726" s="1358"/>
      <c r="I726" s="1358"/>
      <c r="J726" s="1359"/>
      <c r="K726" s="1360">
        <f>K721</f>
        <v>1300</v>
      </c>
      <c r="L726" s="1361"/>
      <c r="M726" s="1361"/>
      <c r="N726" s="1362"/>
      <c r="O726" s="1369">
        <v>937</v>
      </c>
      <c r="P726" s="1370"/>
      <c r="Q726" s="1370"/>
      <c r="R726" s="1370"/>
      <c r="S726" s="1371"/>
      <c r="T726" s="1369">
        <f>T721</f>
        <v>145</v>
      </c>
      <c r="U726" s="1370"/>
      <c r="V726" s="1370"/>
      <c r="W726" s="1371"/>
      <c r="X726" s="1389">
        <f t="shared" si="59"/>
        <v>1082</v>
      </c>
      <c r="Y726" s="1390"/>
      <c r="Z726" s="1390"/>
      <c r="AA726" s="1390"/>
      <c r="AB726" s="1391"/>
      <c r="AC726" s="1408">
        <v>0.4</v>
      </c>
      <c r="AD726" s="1409"/>
      <c r="AE726" s="1409"/>
      <c r="AF726" s="1409"/>
      <c r="AG726" s="1410"/>
      <c r="AH726" s="1400">
        <f t="shared" si="60"/>
        <v>0.40014792899408286</v>
      </c>
      <c r="AI726" s="1401"/>
      <c r="AJ726" s="1402"/>
      <c r="AK726" s="1393" t="s">
        <v>600</v>
      </c>
      <c r="AL726" s="1394"/>
      <c r="AM726" s="1394"/>
      <c r="AN726" s="1394"/>
      <c r="AO726" s="139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3" t="s">
        <v>326</v>
      </c>
      <c r="C727" s="1394"/>
      <c r="D727" s="1394"/>
      <c r="E727" s="1394"/>
      <c r="F727" s="1395"/>
      <c r="G727" s="1357">
        <v>4</v>
      </c>
      <c r="H727" s="1358"/>
      <c r="I727" s="1358"/>
      <c r="J727" s="1359"/>
      <c r="K727" s="1360" t="str">
        <f>K718</f>
        <v>616-663</v>
      </c>
      <c r="L727" s="1361"/>
      <c r="M727" s="1361"/>
      <c r="N727" s="1362"/>
      <c r="O727" s="1369">
        <v>811</v>
      </c>
      <c r="P727" s="1370"/>
      <c r="Q727" s="1370"/>
      <c r="R727" s="1370"/>
      <c r="S727" s="1371"/>
      <c r="T727" s="1369">
        <f>T718</f>
        <v>63</v>
      </c>
      <c r="U727" s="1370"/>
      <c r="V727" s="1370"/>
      <c r="W727" s="1371"/>
      <c r="X727" s="1389">
        <f t="shared" si="59"/>
        <v>874</v>
      </c>
      <c r="Y727" s="1390"/>
      <c r="Z727" s="1390"/>
      <c r="AA727" s="1390"/>
      <c r="AB727" s="1391"/>
      <c r="AC727" s="1408">
        <v>0.5</v>
      </c>
      <c r="AD727" s="1409"/>
      <c r="AE727" s="1409"/>
      <c r="AF727" s="1409"/>
      <c r="AG727" s="1410"/>
      <c r="AH727" s="1400">
        <f t="shared" si="60"/>
        <v>0.5</v>
      </c>
      <c r="AI727" s="1401"/>
      <c r="AJ727" s="1402"/>
      <c r="AK727" s="1393" t="s">
        <v>600</v>
      </c>
      <c r="AL727" s="1394"/>
      <c r="AM727" s="1394"/>
      <c r="AN727" s="1394"/>
      <c r="AO727" s="139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3" t="s">
        <v>326</v>
      </c>
      <c r="C728" s="1394"/>
      <c r="D728" s="1394"/>
      <c r="E728" s="1394"/>
      <c r="F728" s="1395"/>
      <c r="G728" s="1357">
        <v>20</v>
      </c>
      <c r="H728" s="1358"/>
      <c r="I728" s="1358"/>
      <c r="J728" s="1359"/>
      <c r="K728" s="1360" t="str">
        <f>K718</f>
        <v>616-663</v>
      </c>
      <c r="L728" s="1361"/>
      <c r="M728" s="1361"/>
      <c r="N728" s="1362"/>
      <c r="O728" s="1369">
        <v>811</v>
      </c>
      <c r="P728" s="1370"/>
      <c r="Q728" s="1370"/>
      <c r="R728" s="1370"/>
      <c r="S728" s="1371"/>
      <c r="T728" s="1369">
        <f>T718</f>
        <v>63</v>
      </c>
      <c r="U728" s="1370"/>
      <c r="V728" s="1370"/>
      <c r="W728" s="1371"/>
      <c r="X728" s="1389">
        <f t="shared" si="59"/>
        <v>874</v>
      </c>
      <c r="Y728" s="1390"/>
      <c r="Z728" s="1390"/>
      <c r="AA728" s="1390"/>
      <c r="AB728" s="1391"/>
      <c r="AC728" s="1408">
        <v>0.5</v>
      </c>
      <c r="AD728" s="1409"/>
      <c r="AE728" s="1409"/>
      <c r="AF728" s="1409"/>
      <c r="AG728" s="1410"/>
      <c r="AH728" s="1400">
        <f t="shared" si="60"/>
        <v>0.5</v>
      </c>
      <c r="AI728" s="1401"/>
      <c r="AJ728" s="1402"/>
      <c r="AK728" s="1393" t="s">
        <v>600</v>
      </c>
      <c r="AL728" s="1394"/>
      <c r="AM728" s="1394"/>
      <c r="AN728" s="1394"/>
      <c r="AO728" s="139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3" t="s">
        <v>163</v>
      </c>
      <c r="C729" s="1394"/>
      <c r="D729" s="1394"/>
      <c r="E729" s="1394"/>
      <c r="F729" s="1395"/>
      <c r="G729" s="1357">
        <v>8</v>
      </c>
      <c r="H729" s="1358"/>
      <c r="I729" s="1358"/>
      <c r="J729" s="1359"/>
      <c r="K729" s="1360">
        <f>K719</f>
        <v>866</v>
      </c>
      <c r="L729" s="1361"/>
      <c r="M729" s="1361"/>
      <c r="N729" s="1362"/>
      <c r="O729" s="1369">
        <v>957</v>
      </c>
      <c r="P729" s="1370"/>
      <c r="Q729" s="1370"/>
      <c r="R729" s="1370"/>
      <c r="S729" s="1371"/>
      <c r="T729" s="1369">
        <f>T719</f>
        <v>91</v>
      </c>
      <c r="U729" s="1370"/>
      <c r="V729" s="1370"/>
      <c r="W729" s="1371"/>
      <c r="X729" s="1389">
        <f t="shared" si="59"/>
        <v>1048</v>
      </c>
      <c r="Y729" s="1390"/>
      <c r="Z729" s="1390"/>
      <c r="AA729" s="1390"/>
      <c r="AB729" s="1391"/>
      <c r="AC729" s="1408">
        <v>0.5</v>
      </c>
      <c r="AD729" s="1409"/>
      <c r="AE729" s="1409"/>
      <c r="AF729" s="1409"/>
      <c r="AG729" s="1410"/>
      <c r="AH729" s="1400">
        <f t="shared" si="60"/>
        <v>0.5</v>
      </c>
      <c r="AI729" s="1401"/>
      <c r="AJ729" s="1402"/>
      <c r="AK729" s="1393" t="s">
        <v>600</v>
      </c>
      <c r="AL729" s="1394"/>
      <c r="AM729" s="1394"/>
      <c r="AN729" s="1394"/>
      <c r="AO729" s="139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3" t="s">
        <v>163</v>
      </c>
      <c r="C730" s="1394"/>
      <c r="D730" s="1394"/>
      <c r="E730" s="1394"/>
      <c r="F730" s="1395"/>
      <c r="G730" s="1357">
        <v>7</v>
      </c>
      <c r="H730" s="1358"/>
      <c r="I730" s="1358"/>
      <c r="J730" s="1359"/>
      <c r="K730" s="1360">
        <f>K719</f>
        <v>866</v>
      </c>
      <c r="L730" s="1361"/>
      <c r="M730" s="1361"/>
      <c r="N730" s="1362"/>
      <c r="O730" s="1369">
        <v>957</v>
      </c>
      <c r="P730" s="1370"/>
      <c r="Q730" s="1370"/>
      <c r="R730" s="1370"/>
      <c r="S730" s="1371"/>
      <c r="T730" s="1369">
        <f>T719</f>
        <v>91</v>
      </c>
      <c r="U730" s="1370"/>
      <c r="V730" s="1370"/>
      <c r="W730" s="1371"/>
      <c r="X730" s="1389">
        <f t="shared" si="59"/>
        <v>1048</v>
      </c>
      <c r="Y730" s="1390"/>
      <c r="Z730" s="1390"/>
      <c r="AA730" s="1390"/>
      <c r="AB730" s="1391"/>
      <c r="AC730" s="1408">
        <v>0.5</v>
      </c>
      <c r="AD730" s="1409"/>
      <c r="AE730" s="1409"/>
      <c r="AF730" s="1409"/>
      <c r="AG730" s="1410"/>
      <c r="AH730" s="1400">
        <f t="shared" si="60"/>
        <v>0.5</v>
      </c>
      <c r="AI730" s="1401"/>
      <c r="AJ730" s="1402"/>
      <c r="AK730" s="1393" t="s">
        <v>600</v>
      </c>
      <c r="AL730" s="1394"/>
      <c r="AM730" s="1394"/>
      <c r="AN730" s="1394"/>
      <c r="AO730" s="139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3" t="s">
        <v>164</v>
      </c>
      <c r="C731" s="1394"/>
      <c r="D731" s="1394"/>
      <c r="E731" s="1394"/>
      <c r="F731" s="1395"/>
      <c r="G731" s="1357">
        <v>10</v>
      </c>
      <c r="H731" s="1358"/>
      <c r="I731" s="1358"/>
      <c r="J731" s="1359"/>
      <c r="K731" s="1360" t="str">
        <f>K720</f>
        <v>1175-1199</v>
      </c>
      <c r="L731" s="1361"/>
      <c r="M731" s="1361"/>
      <c r="N731" s="1362"/>
      <c r="O731" s="1369">
        <v>1094</v>
      </c>
      <c r="P731" s="1370"/>
      <c r="Q731" s="1370"/>
      <c r="R731" s="1370"/>
      <c r="S731" s="1371"/>
      <c r="T731" s="1369">
        <f>T720</f>
        <v>117</v>
      </c>
      <c r="U731" s="1370"/>
      <c r="V731" s="1370"/>
      <c r="W731" s="1371"/>
      <c r="X731" s="1389">
        <f t="shared" si="59"/>
        <v>1211</v>
      </c>
      <c r="Y731" s="1390"/>
      <c r="Z731" s="1390"/>
      <c r="AA731" s="1390"/>
      <c r="AB731" s="1391"/>
      <c r="AC731" s="1408">
        <v>0.5</v>
      </c>
      <c r="AD731" s="1409"/>
      <c r="AE731" s="1409"/>
      <c r="AF731" s="1409"/>
      <c r="AG731" s="1410"/>
      <c r="AH731" s="1400">
        <f t="shared" si="60"/>
        <v>0.5</v>
      </c>
      <c r="AI731" s="1401"/>
      <c r="AJ731" s="1402"/>
      <c r="AK731" s="1393" t="s">
        <v>600</v>
      </c>
      <c r="AL731" s="1394"/>
      <c r="AM731" s="1394"/>
      <c r="AN731" s="1394"/>
      <c r="AO731" s="139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3" t="s">
        <v>165</v>
      </c>
      <c r="C732" s="1394"/>
      <c r="D732" s="1394"/>
      <c r="E732" s="1394"/>
      <c r="F732" s="1395"/>
      <c r="G732" s="1357">
        <v>4</v>
      </c>
      <c r="H732" s="1358"/>
      <c r="I732" s="1358"/>
      <c r="J732" s="1359"/>
      <c r="K732" s="1360">
        <f>K721</f>
        <v>1300</v>
      </c>
      <c r="L732" s="1361"/>
      <c r="M732" s="1361"/>
      <c r="N732" s="1362"/>
      <c r="O732" s="1369">
        <v>1207</v>
      </c>
      <c r="P732" s="1370"/>
      <c r="Q732" s="1370"/>
      <c r="R732" s="1370"/>
      <c r="S732" s="1371"/>
      <c r="T732" s="1369">
        <f>T721</f>
        <v>145</v>
      </c>
      <c r="U732" s="1370"/>
      <c r="V732" s="1370"/>
      <c r="W732" s="1371"/>
      <c r="X732" s="1389">
        <f t="shared" si="59"/>
        <v>1352</v>
      </c>
      <c r="Y732" s="1390"/>
      <c r="Z732" s="1390"/>
      <c r="AA732" s="1390"/>
      <c r="AB732" s="1391"/>
      <c r="AC732" s="1408">
        <v>0.5</v>
      </c>
      <c r="AD732" s="1409"/>
      <c r="AE732" s="1409"/>
      <c r="AF732" s="1409"/>
      <c r="AG732" s="1410"/>
      <c r="AH732" s="1400">
        <f t="shared" si="60"/>
        <v>0.5</v>
      </c>
      <c r="AI732" s="1401"/>
      <c r="AJ732" s="1402"/>
      <c r="AK732" s="1393" t="s">
        <v>600</v>
      </c>
      <c r="AL732" s="1394"/>
      <c r="AM732" s="1394"/>
      <c r="AN732" s="1394"/>
      <c r="AO732" s="139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3" t="s">
        <v>326</v>
      </c>
      <c r="C733" s="1394"/>
      <c r="D733" s="1394"/>
      <c r="E733" s="1394"/>
      <c r="F733" s="1395"/>
      <c r="G733" s="1357">
        <v>17</v>
      </c>
      <c r="H733" s="1358"/>
      <c r="I733" s="1358"/>
      <c r="J733" s="1359"/>
      <c r="K733" s="1360" t="str">
        <f>K718</f>
        <v>616-663</v>
      </c>
      <c r="L733" s="1361"/>
      <c r="M733" s="1361"/>
      <c r="N733" s="1362"/>
      <c r="O733" s="1369">
        <v>986</v>
      </c>
      <c r="P733" s="1370"/>
      <c r="Q733" s="1370"/>
      <c r="R733" s="1370"/>
      <c r="S733" s="1371"/>
      <c r="T733" s="1369">
        <f>T718</f>
        <v>63</v>
      </c>
      <c r="U733" s="1370"/>
      <c r="V733" s="1370"/>
      <c r="W733" s="1371"/>
      <c r="X733" s="1389">
        <f t="shared" si="59"/>
        <v>1049</v>
      </c>
      <c r="Y733" s="1390"/>
      <c r="Z733" s="1390"/>
      <c r="AA733" s="1390"/>
      <c r="AB733" s="1391"/>
      <c r="AC733" s="1408">
        <v>0.6</v>
      </c>
      <c r="AD733" s="1409"/>
      <c r="AE733" s="1409"/>
      <c r="AF733" s="1409"/>
      <c r="AG733" s="1410"/>
      <c r="AH733" s="1400">
        <f t="shared" si="60"/>
        <v>0.60011441647597252</v>
      </c>
      <c r="AI733" s="1401"/>
      <c r="AJ733" s="1402"/>
      <c r="AK733" s="1393" t="s">
        <v>600</v>
      </c>
      <c r="AL733" s="1394"/>
      <c r="AM733" s="1394"/>
      <c r="AN733" s="1394"/>
      <c r="AO733" s="139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3" t="s">
        <v>163</v>
      </c>
      <c r="C734" s="1394"/>
      <c r="D734" s="1394"/>
      <c r="E734" s="1394"/>
      <c r="F734" s="1395"/>
      <c r="G734" s="1357">
        <v>10</v>
      </c>
      <c r="H734" s="1358"/>
      <c r="I734" s="1358"/>
      <c r="J734" s="1359"/>
      <c r="K734" s="1360">
        <f t="shared" ref="K734:K735" si="61">K719</f>
        <v>866</v>
      </c>
      <c r="L734" s="1361"/>
      <c r="M734" s="1361"/>
      <c r="N734" s="1362"/>
      <c r="O734" s="1369">
        <v>1167</v>
      </c>
      <c r="P734" s="1370"/>
      <c r="Q734" s="1370"/>
      <c r="R734" s="1370"/>
      <c r="S734" s="1371"/>
      <c r="T734" s="1369">
        <f t="shared" ref="T734:T735" si="62">T719</f>
        <v>91</v>
      </c>
      <c r="U734" s="1370"/>
      <c r="V734" s="1370"/>
      <c r="W734" s="1371"/>
      <c r="X734" s="1389">
        <f t="shared" si="59"/>
        <v>1258</v>
      </c>
      <c r="Y734" s="1390"/>
      <c r="Z734" s="1390"/>
      <c r="AA734" s="1390"/>
      <c r="AB734" s="1391"/>
      <c r="AC734" s="1408">
        <v>0.6</v>
      </c>
      <c r="AD734" s="1409"/>
      <c r="AE734" s="1409"/>
      <c r="AF734" s="1409"/>
      <c r="AG734" s="1410"/>
      <c r="AH734" s="1400">
        <f t="shared" si="60"/>
        <v>0.60019083969465647</v>
      </c>
      <c r="AI734" s="1401"/>
      <c r="AJ734" s="1402"/>
      <c r="AK734" s="1393" t="s">
        <v>600</v>
      </c>
      <c r="AL734" s="1394"/>
      <c r="AM734" s="1394"/>
      <c r="AN734" s="1394"/>
      <c r="AO734" s="139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3" t="s">
        <v>164</v>
      </c>
      <c r="C735" s="1394"/>
      <c r="D735" s="1394"/>
      <c r="E735" s="1394"/>
      <c r="F735" s="1395"/>
      <c r="G735" s="1357">
        <v>9</v>
      </c>
      <c r="H735" s="1358"/>
      <c r="I735" s="1358"/>
      <c r="J735" s="1359"/>
      <c r="K735" s="1360" t="str">
        <f t="shared" si="61"/>
        <v>1175-1199</v>
      </c>
      <c r="L735" s="1361"/>
      <c r="M735" s="1361"/>
      <c r="N735" s="1362"/>
      <c r="O735" s="1369">
        <v>1337</v>
      </c>
      <c r="P735" s="1370"/>
      <c r="Q735" s="1370"/>
      <c r="R735" s="1370"/>
      <c r="S735" s="1371"/>
      <c r="T735" s="1369">
        <f t="shared" si="62"/>
        <v>117</v>
      </c>
      <c r="U735" s="1370"/>
      <c r="V735" s="1370"/>
      <c r="W735" s="1371"/>
      <c r="X735" s="1389">
        <f t="shared" si="59"/>
        <v>1454</v>
      </c>
      <c r="Y735" s="1390"/>
      <c r="Z735" s="1390"/>
      <c r="AA735" s="1390"/>
      <c r="AB735" s="1391"/>
      <c r="AC735" s="1408">
        <v>0.6</v>
      </c>
      <c r="AD735" s="1409"/>
      <c r="AE735" s="1409"/>
      <c r="AF735" s="1409"/>
      <c r="AG735" s="1410"/>
      <c r="AH735" s="1400">
        <f t="shared" si="60"/>
        <v>0.60033030553261768</v>
      </c>
      <c r="AI735" s="1401"/>
      <c r="AJ735" s="1402"/>
      <c r="AK735" s="1393" t="s">
        <v>600</v>
      </c>
      <c r="AL735" s="1394"/>
      <c r="AM735" s="1394"/>
      <c r="AN735" s="1394"/>
      <c r="AO735" s="139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3" t="s">
        <v>326</v>
      </c>
      <c r="C736" s="1394"/>
      <c r="D736" s="1394"/>
      <c r="E736" s="1394"/>
      <c r="F736" s="1395"/>
      <c r="G736" s="1357">
        <v>8</v>
      </c>
      <c r="H736" s="1358"/>
      <c r="I736" s="1358"/>
      <c r="J736" s="1359"/>
      <c r="K736" s="1360" t="str">
        <f>K718</f>
        <v>616-663</v>
      </c>
      <c r="L736" s="1361"/>
      <c r="M736" s="1361"/>
      <c r="N736" s="1362"/>
      <c r="O736" s="1369">
        <v>1161</v>
      </c>
      <c r="P736" s="1370"/>
      <c r="Q736" s="1370"/>
      <c r="R736" s="1370"/>
      <c r="S736" s="1371"/>
      <c r="T736" s="1369">
        <f>T718</f>
        <v>63</v>
      </c>
      <c r="U736" s="1370"/>
      <c r="V736" s="1370"/>
      <c r="W736" s="1371"/>
      <c r="X736" s="1389">
        <f t="shared" si="59"/>
        <v>1224</v>
      </c>
      <c r="Y736" s="1390"/>
      <c r="Z736" s="1390"/>
      <c r="AA736" s="1390"/>
      <c r="AB736" s="1391"/>
      <c r="AC736" s="1408">
        <v>0.7</v>
      </c>
      <c r="AD736" s="1409"/>
      <c r="AE736" s="1409"/>
      <c r="AF736" s="1409"/>
      <c r="AG736" s="1410"/>
      <c r="AH736" s="1400">
        <f t="shared" si="60"/>
        <v>0.70022883295194505</v>
      </c>
      <c r="AI736" s="1401"/>
      <c r="AJ736" s="1402"/>
      <c r="AK736" s="1393" t="s">
        <v>600</v>
      </c>
      <c r="AL736" s="1394"/>
      <c r="AM736" s="1394"/>
      <c r="AN736" s="1394"/>
      <c r="AO736" s="139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3" t="s">
        <v>163</v>
      </c>
      <c r="C737" s="1394"/>
      <c r="D737" s="1394"/>
      <c r="E737" s="1394"/>
      <c r="F737" s="1395"/>
      <c r="G737" s="1357">
        <v>8</v>
      </c>
      <c r="H737" s="1358"/>
      <c r="I737" s="1358"/>
      <c r="J737" s="1359"/>
      <c r="K737" s="1360">
        <f t="shared" ref="K737:K738" si="63">K719</f>
        <v>866</v>
      </c>
      <c r="L737" s="1361"/>
      <c r="M737" s="1361"/>
      <c r="N737" s="1362"/>
      <c r="O737" s="1369">
        <v>1377</v>
      </c>
      <c r="P737" s="1370"/>
      <c r="Q737" s="1370"/>
      <c r="R737" s="1370"/>
      <c r="S737" s="1371"/>
      <c r="T737" s="1369">
        <f t="shared" ref="T737:T738" si="64">T719</f>
        <v>91</v>
      </c>
      <c r="U737" s="1370"/>
      <c r="V737" s="1370"/>
      <c r="W737" s="1371"/>
      <c r="X737" s="1389">
        <f t="shared" si="59"/>
        <v>1468</v>
      </c>
      <c r="Y737" s="1390"/>
      <c r="Z737" s="1390"/>
      <c r="AA737" s="1390"/>
      <c r="AB737" s="1391"/>
      <c r="AC737" s="1408">
        <v>0.7</v>
      </c>
      <c r="AD737" s="1409"/>
      <c r="AE737" s="1409"/>
      <c r="AF737" s="1409"/>
      <c r="AG737" s="1410"/>
      <c r="AH737" s="1400">
        <f t="shared" si="60"/>
        <v>0.70038167938931295</v>
      </c>
      <c r="AI737" s="1401"/>
      <c r="AJ737" s="1402"/>
      <c r="AK737" s="1393" t="s">
        <v>600</v>
      </c>
      <c r="AL737" s="1394"/>
      <c r="AM737" s="1394"/>
      <c r="AN737" s="1394"/>
      <c r="AO737" s="139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3" t="s">
        <v>164</v>
      </c>
      <c r="C738" s="1394"/>
      <c r="D738" s="1394"/>
      <c r="E738" s="1394"/>
      <c r="F738" s="1395"/>
      <c r="G738" s="1357">
        <v>5</v>
      </c>
      <c r="H738" s="1358"/>
      <c r="I738" s="1358"/>
      <c r="J738" s="1359"/>
      <c r="K738" s="1360" t="str">
        <f t="shared" si="63"/>
        <v>1175-1199</v>
      </c>
      <c r="L738" s="1361"/>
      <c r="M738" s="1361"/>
      <c r="N738" s="1362"/>
      <c r="O738" s="1369">
        <v>1579</v>
      </c>
      <c r="P738" s="1370"/>
      <c r="Q738" s="1370"/>
      <c r="R738" s="1370"/>
      <c r="S738" s="1371"/>
      <c r="T738" s="1369">
        <f t="shared" si="64"/>
        <v>117</v>
      </c>
      <c r="U738" s="1370"/>
      <c r="V738" s="1370"/>
      <c r="W738" s="1371"/>
      <c r="X738" s="1389">
        <f t="shared" si="59"/>
        <v>1696</v>
      </c>
      <c r="Y738" s="1390"/>
      <c r="Z738" s="1390"/>
      <c r="AA738" s="1390"/>
      <c r="AB738" s="1391"/>
      <c r="AC738" s="1408">
        <v>0.7</v>
      </c>
      <c r="AD738" s="1409"/>
      <c r="AE738" s="1409"/>
      <c r="AF738" s="1409"/>
      <c r="AG738" s="1410"/>
      <c r="AH738" s="1400">
        <f t="shared" si="60"/>
        <v>0.70024772914946321</v>
      </c>
      <c r="AI738" s="1401"/>
      <c r="AJ738" s="1402"/>
      <c r="AK738" s="1393" t="s">
        <v>600</v>
      </c>
      <c r="AL738" s="1394"/>
      <c r="AM738" s="1394"/>
      <c r="AN738" s="1394"/>
      <c r="AO738" s="139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3"/>
      <c r="C739" s="1394"/>
      <c r="D739" s="1394"/>
      <c r="E739" s="1394"/>
      <c r="F739" s="1395"/>
      <c r="G739" s="1357"/>
      <c r="H739" s="1358"/>
      <c r="I739" s="1358"/>
      <c r="J739" s="1359"/>
      <c r="K739" s="1360"/>
      <c r="L739" s="1361"/>
      <c r="M739" s="1361"/>
      <c r="N739" s="1362"/>
      <c r="O739" s="1369"/>
      <c r="P739" s="1370"/>
      <c r="Q739" s="1370"/>
      <c r="R739" s="1370"/>
      <c r="S739" s="1371"/>
      <c r="T739" s="1369"/>
      <c r="U739" s="1370"/>
      <c r="V739" s="1370"/>
      <c r="W739" s="1371"/>
      <c r="X739" s="1389">
        <f t="shared" si="59"/>
        <v>0</v>
      </c>
      <c r="Y739" s="1390"/>
      <c r="Z739" s="1390"/>
      <c r="AA739" s="1390"/>
      <c r="AB739" s="1391"/>
      <c r="AC739" s="1408"/>
      <c r="AD739" s="1409"/>
      <c r="AE739" s="1409"/>
      <c r="AF739" s="1409"/>
      <c r="AG739" s="1410"/>
      <c r="AH739" s="1400" t="str">
        <f t="shared" si="60"/>
        <v/>
      </c>
      <c r="AI739" s="1401"/>
      <c r="AJ739" s="1402"/>
      <c r="AK739" s="1393" t="s">
        <v>600</v>
      </c>
      <c r="AL739" s="1394"/>
      <c r="AM739" s="1394"/>
      <c r="AN739" s="1394"/>
      <c r="AO739" s="139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3"/>
      <c r="C740" s="1394"/>
      <c r="D740" s="1394"/>
      <c r="E740" s="1394"/>
      <c r="F740" s="1395"/>
      <c r="G740" s="1357"/>
      <c r="H740" s="1358"/>
      <c r="I740" s="1358"/>
      <c r="J740" s="1359"/>
      <c r="K740" s="1360"/>
      <c r="L740" s="1361"/>
      <c r="M740" s="1361"/>
      <c r="N740" s="1362"/>
      <c r="O740" s="1369"/>
      <c r="P740" s="1370"/>
      <c r="Q740" s="1370"/>
      <c r="R740" s="1370"/>
      <c r="S740" s="1371"/>
      <c r="T740" s="1369"/>
      <c r="U740" s="1370"/>
      <c r="V740" s="1370"/>
      <c r="W740" s="1371"/>
      <c r="X740" s="1389">
        <f t="shared" si="59"/>
        <v>0</v>
      </c>
      <c r="Y740" s="1390"/>
      <c r="Z740" s="1390"/>
      <c r="AA740" s="1390"/>
      <c r="AB740" s="1391"/>
      <c r="AC740" s="1408"/>
      <c r="AD740" s="1409"/>
      <c r="AE740" s="1409"/>
      <c r="AF740" s="1409"/>
      <c r="AG740" s="1410"/>
      <c r="AH740" s="1400" t="str">
        <f t="shared" si="60"/>
        <v/>
      </c>
      <c r="AI740" s="1401"/>
      <c r="AJ740" s="1402"/>
      <c r="AK740" s="1393" t="s">
        <v>600</v>
      </c>
      <c r="AL740" s="1394"/>
      <c r="AM740" s="1394"/>
      <c r="AN740" s="1394"/>
      <c r="AO740" s="139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3"/>
      <c r="C741" s="1394"/>
      <c r="D741" s="1394"/>
      <c r="E741" s="1394"/>
      <c r="F741" s="1395"/>
      <c r="G741" s="1357"/>
      <c r="H741" s="1358"/>
      <c r="I741" s="1358"/>
      <c r="J741" s="1359"/>
      <c r="K741" s="1360"/>
      <c r="L741" s="1361"/>
      <c r="M741" s="1361"/>
      <c r="N741" s="1362"/>
      <c r="O741" s="1369"/>
      <c r="P741" s="1370"/>
      <c r="Q741" s="1370"/>
      <c r="R741" s="1370"/>
      <c r="S741" s="1371"/>
      <c r="T741" s="1369"/>
      <c r="U741" s="1370"/>
      <c r="V741" s="1370"/>
      <c r="W741" s="1371"/>
      <c r="X741" s="1389">
        <f t="shared" si="59"/>
        <v>0</v>
      </c>
      <c r="Y741" s="1390"/>
      <c r="Z741" s="1390"/>
      <c r="AA741" s="1390"/>
      <c r="AB741" s="1391"/>
      <c r="AC741" s="1408"/>
      <c r="AD741" s="1409"/>
      <c r="AE741" s="1409"/>
      <c r="AF741" s="1409"/>
      <c r="AG741" s="1410"/>
      <c r="AH741" s="1400" t="str">
        <f t="shared" si="60"/>
        <v/>
      </c>
      <c r="AI741" s="1401"/>
      <c r="AJ741" s="1402"/>
      <c r="AK741" s="1393" t="s">
        <v>600</v>
      </c>
      <c r="AL741" s="1394"/>
      <c r="AM741" s="1394"/>
      <c r="AN741" s="1394"/>
      <c r="AO741" s="139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3"/>
      <c r="C742" s="1394"/>
      <c r="D742" s="1394"/>
      <c r="E742" s="1394"/>
      <c r="F742" s="1395"/>
      <c r="G742" s="1357"/>
      <c r="H742" s="1358"/>
      <c r="I742" s="1358"/>
      <c r="J742" s="1359"/>
      <c r="K742" s="1360"/>
      <c r="L742" s="1361"/>
      <c r="M742" s="1361"/>
      <c r="N742" s="1362"/>
      <c r="O742" s="1369"/>
      <c r="P742" s="1370"/>
      <c r="Q742" s="1370"/>
      <c r="R742" s="1370"/>
      <c r="S742" s="1371"/>
      <c r="T742" s="1369"/>
      <c r="U742" s="1370"/>
      <c r="V742" s="1370"/>
      <c r="W742" s="1371"/>
      <c r="X742" s="1389">
        <f t="shared" ref="X742:X751" si="65">O742+T742</f>
        <v>0</v>
      </c>
      <c r="Y742" s="1390"/>
      <c r="Z742" s="1390"/>
      <c r="AA742" s="1390"/>
      <c r="AB742" s="1391"/>
      <c r="AC742" s="1408"/>
      <c r="AD742" s="1409"/>
      <c r="AE742" s="1409"/>
      <c r="AF742" s="1409"/>
      <c r="AG742" s="1410"/>
      <c r="AH742" s="1400" t="str">
        <f t="shared" si="60"/>
        <v/>
      </c>
      <c r="AI742" s="1401"/>
      <c r="AJ742" s="1402"/>
      <c r="AK742" s="1393" t="s">
        <v>600</v>
      </c>
      <c r="AL742" s="1394"/>
      <c r="AM742" s="1394"/>
      <c r="AN742" s="1394"/>
      <c r="AO742" s="139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3"/>
      <c r="C743" s="1394"/>
      <c r="D743" s="1394"/>
      <c r="E743" s="1394"/>
      <c r="F743" s="1395"/>
      <c r="G743" s="1357"/>
      <c r="H743" s="1358"/>
      <c r="I743" s="1358"/>
      <c r="J743" s="1359"/>
      <c r="K743" s="1360"/>
      <c r="L743" s="1361"/>
      <c r="M743" s="1361"/>
      <c r="N743" s="1362"/>
      <c r="O743" s="1369"/>
      <c r="P743" s="1370"/>
      <c r="Q743" s="1370"/>
      <c r="R743" s="1370"/>
      <c r="S743" s="1371"/>
      <c r="T743" s="1369"/>
      <c r="U743" s="1370"/>
      <c r="V743" s="1370"/>
      <c r="W743" s="1371"/>
      <c r="X743" s="1389">
        <f t="shared" si="65"/>
        <v>0</v>
      </c>
      <c r="Y743" s="1390"/>
      <c r="Z743" s="1390"/>
      <c r="AA743" s="1390"/>
      <c r="AB743" s="1391"/>
      <c r="AC743" s="1408"/>
      <c r="AD743" s="1409"/>
      <c r="AE743" s="1409"/>
      <c r="AF743" s="1409"/>
      <c r="AG743" s="1410"/>
      <c r="AH743" s="1400" t="str">
        <f t="shared" si="60"/>
        <v/>
      </c>
      <c r="AI743" s="1401"/>
      <c r="AJ743" s="1402"/>
      <c r="AK743" s="1393" t="s">
        <v>600</v>
      </c>
      <c r="AL743" s="1394"/>
      <c r="AM743" s="1394"/>
      <c r="AN743" s="1394"/>
      <c r="AO743" s="139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3"/>
      <c r="C744" s="1394"/>
      <c r="D744" s="1394"/>
      <c r="E744" s="1394"/>
      <c r="F744" s="1395"/>
      <c r="G744" s="1357"/>
      <c r="H744" s="1358"/>
      <c r="I744" s="1358"/>
      <c r="J744" s="1359"/>
      <c r="K744" s="1360"/>
      <c r="L744" s="1361"/>
      <c r="M744" s="1361"/>
      <c r="N744" s="1362"/>
      <c r="O744" s="1369"/>
      <c r="P744" s="1370"/>
      <c r="Q744" s="1370"/>
      <c r="R744" s="1370"/>
      <c r="S744" s="1371"/>
      <c r="T744" s="1369"/>
      <c r="U744" s="1370"/>
      <c r="V744" s="1370"/>
      <c r="W744" s="1371"/>
      <c r="X744" s="1389">
        <f t="shared" si="65"/>
        <v>0</v>
      </c>
      <c r="Y744" s="1390"/>
      <c r="Z744" s="1390"/>
      <c r="AA744" s="1390"/>
      <c r="AB744" s="1391"/>
      <c r="AC744" s="1408"/>
      <c r="AD744" s="1409"/>
      <c r="AE744" s="1409"/>
      <c r="AF744" s="1409"/>
      <c r="AG744" s="1410"/>
      <c r="AH744" s="1400" t="str">
        <f t="shared" si="60"/>
        <v/>
      </c>
      <c r="AI744" s="1401"/>
      <c r="AJ744" s="1402"/>
      <c r="AK744" s="1393" t="s">
        <v>600</v>
      </c>
      <c r="AL744" s="1394"/>
      <c r="AM744" s="1394"/>
      <c r="AN744" s="1394"/>
      <c r="AO744" s="139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3"/>
      <c r="C745" s="1394"/>
      <c r="D745" s="1394"/>
      <c r="E745" s="1394"/>
      <c r="F745" s="1395"/>
      <c r="G745" s="1357"/>
      <c r="H745" s="1358"/>
      <c r="I745" s="1358"/>
      <c r="J745" s="1359"/>
      <c r="K745" s="1360"/>
      <c r="L745" s="1361"/>
      <c r="M745" s="1361"/>
      <c r="N745" s="1362"/>
      <c r="O745" s="1369"/>
      <c r="P745" s="1370"/>
      <c r="Q745" s="1370"/>
      <c r="R745" s="1370"/>
      <c r="S745" s="1371"/>
      <c r="T745" s="1369"/>
      <c r="U745" s="1370"/>
      <c r="V745" s="1370"/>
      <c r="W745" s="1371"/>
      <c r="X745" s="1389">
        <f t="shared" si="65"/>
        <v>0</v>
      </c>
      <c r="Y745" s="1390"/>
      <c r="Z745" s="1390"/>
      <c r="AA745" s="1390"/>
      <c r="AB745" s="1391"/>
      <c r="AC745" s="1408"/>
      <c r="AD745" s="1409"/>
      <c r="AE745" s="1409"/>
      <c r="AF745" s="1409"/>
      <c r="AG745" s="1410"/>
      <c r="AH745" s="1400" t="str">
        <f t="shared" si="60"/>
        <v/>
      </c>
      <c r="AI745" s="1401"/>
      <c r="AJ745" s="1402"/>
      <c r="AK745" s="1393" t="s">
        <v>600</v>
      </c>
      <c r="AL745" s="1394"/>
      <c r="AM745" s="1394"/>
      <c r="AN745" s="1394"/>
      <c r="AO745" s="139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3"/>
      <c r="C746" s="1394"/>
      <c r="D746" s="1394"/>
      <c r="E746" s="1394"/>
      <c r="F746" s="1395"/>
      <c r="G746" s="1357"/>
      <c r="H746" s="1358"/>
      <c r="I746" s="1358"/>
      <c r="J746" s="1359"/>
      <c r="K746" s="1360"/>
      <c r="L746" s="1361"/>
      <c r="M746" s="1361"/>
      <c r="N746" s="1362"/>
      <c r="O746" s="1369"/>
      <c r="P746" s="1370"/>
      <c r="Q746" s="1370"/>
      <c r="R746" s="1370"/>
      <c r="S746" s="1371"/>
      <c r="T746" s="1369"/>
      <c r="U746" s="1370"/>
      <c r="V746" s="1370"/>
      <c r="W746" s="1371"/>
      <c r="X746" s="1389">
        <f t="shared" si="65"/>
        <v>0</v>
      </c>
      <c r="Y746" s="1390"/>
      <c r="Z746" s="1390"/>
      <c r="AA746" s="1390"/>
      <c r="AB746" s="1391"/>
      <c r="AC746" s="1408"/>
      <c r="AD746" s="1409"/>
      <c r="AE746" s="1409"/>
      <c r="AF746" s="1409"/>
      <c r="AG746" s="1410"/>
      <c r="AH746" s="1400" t="str">
        <f t="shared" si="60"/>
        <v/>
      </c>
      <c r="AI746" s="1401"/>
      <c r="AJ746" s="1402"/>
      <c r="AK746" s="1393" t="s">
        <v>600</v>
      </c>
      <c r="AL746" s="1394"/>
      <c r="AM746" s="1394"/>
      <c r="AN746" s="1394"/>
      <c r="AO746" s="139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3"/>
      <c r="C747" s="1394"/>
      <c r="D747" s="1394"/>
      <c r="E747" s="1394"/>
      <c r="F747" s="1395"/>
      <c r="G747" s="1357"/>
      <c r="H747" s="1358"/>
      <c r="I747" s="1358"/>
      <c r="J747" s="1359"/>
      <c r="K747" s="1360"/>
      <c r="L747" s="1361"/>
      <c r="M747" s="1361"/>
      <c r="N747" s="1362"/>
      <c r="O747" s="1369"/>
      <c r="P747" s="1370"/>
      <c r="Q747" s="1370"/>
      <c r="R747" s="1370"/>
      <c r="S747" s="1371"/>
      <c r="T747" s="1369"/>
      <c r="U747" s="1370"/>
      <c r="V747" s="1370"/>
      <c r="W747" s="1371"/>
      <c r="X747" s="1389">
        <f t="shared" si="65"/>
        <v>0</v>
      </c>
      <c r="Y747" s="1390"/>
      <c r="Z747" s="1390"/>
      <c r="AA747" s="1390"/>
      <c r="AB747" s="1391"/>
      <c r="AC747" s="1408"/>
      <c r="AD747" s="1409"/>
      <c r="AE747" s="1409"/>
      <c r="AF747" s="1409"/>
      <c r="AG747" s="1410"/>
      <c r="AH747" s="1400" t="str">
        <f t="shared" si="60"/>
        <v/>
      </c>
      <c r="AI747" s="1401"/>
      <c r="AJ747" s="1402"/>
      <c r="AK747" s="1393" t="s">
        <v>600</v>
      </c>
      <c r="AL747" s="1394"/>
      <c r="AM747" s="1394"/>
      <c r="AN747" s="1394"/>
      <c r="AO747" s="139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3"/>
      <c r="C748" s="1394"/>
      <c r="D748" s="1394"/>
      <c r="E748" s="1394"/>
      <c r="F748" s="1395"/>
      <c r="G748" s="1357"/>
      <c r="H748" s="1358"/>
      <c r="I748" s="1358"/>
      <c r="J748" s="1359"/>
      <c r="K748" s="1360"/>
      <c r="L748" s="1361"/>
      <c r="M748" s="1361"/>
      <c r="N748" s="1362"/>
      <c r="O748" s="1369"/>
      <c r="P748" s="1370"/>
      <c r="Q748" s="1370"/>
      <c r="R748" s="1370"/>
      <c r="S748" s="1371"/>
      <c r="T748" s="1369"/>
      <c r="U748" s="1370"/>
      <c r="V748" s="1370"/>
      <c r="W748" s="1371"/>
      <c r="X748" s="1389">
        <f t="shared" si="65"/>
        <v>0</v>
      </c>
      <c r="Y748" s="1390"/>
      <c r="Z748" s="1390"/>
      <c r="AA748" s="1390"/>
      <c r="AB748" s="1391"/>
      <c r="AC748" s="1408"/>
      <c r="AD748" s="1409"/>
      <c r="AE748" s="1409"/>
      <c r="AF748" s="1409"/>
      <c r="AG748" s="1410"/>
      <c r="AH748" s="1400" t="str">
        <f t="shared" si="60"/>
        <v/>
      </c>
      <c r="AI748" s="1401"/>
      <c r="AJ748" s="1402"/>
      <c r="AK748" s="1393" t="s">
        <v>600</v>
      </c>
      <c r="AL748" s="1394"/>
      <c r="AM748" s="1394"/>
      <c r="AN748" s="1394"/>
      <c r="AO748" s="139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3"/>
      <c r="C749" s="1394"/>
      <c r="D749" s="1394"/>
      <c r="E749" s="1394"/>
      <c r="F749" s="1395"/>
      <c r="G749" s="1357"/>
      <c r="H749" s="1358"/>
      <c r="I749" s="1358"/>
      <c r="J749" s="1359"/>
      <c r="K749" s="1360"/>
      <c r="L749" s="1361"/>
      <c r="M749" s="1361"/>
      <c r="N749" s="1362"/>
      <c r="O749" s="1369"/>
      <c r="P749" s="1370"/>
      <c r="Q749" s="1370"/>
      <c r="R749" s="1370"/>
      <c r="S749" s="1371"/>
      <c r="T749" s="1369"/>
      <c r="U749" s="1370"/>
      <c r="V749" s="1370"/>
      <c r="W749" s="1371"/>
      <c r="X749" s="1389">
        <f t="shared" si="65"/>
        <v>0</v>
      </c>
      <c r="Y749" s="1390"/>
      <c r="Z749" s="1390"/>
      <c r="AA749" s="1390"/>
      <c r="AB749" s="1391"/>
      <c r="AC749" s="1408"/>
      <c r="AD749" s="1409"/>
      <c r="AE749" s="1409"/>
      <c r="AF749" s="1409"/>
      <c r="AG749" s="1410"/>
      <c r="AH749" s="1400" t="str">
        <f t="shared" si="60"/>
        <v/>
      </c>
      <c r="AI749" s="1401"/>
      <c r="AJ749" s="1402"/>
      <c r="AK749" s="1393" t="s">
        <v>600</v>
      </c>
      <c r="AL749" s="1394"/>
      <c r="AM749" s="1394"/>
      <c r="AN749" s="1394"/>
      <c r="AO749" s="139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3"/>
      <c r="C750" s="1394"/>
      <c r="D750" s="1394"/>
      <c r="E750" s="1394"/>
      <c r="F750" s="1395"/>
      <c r="G750" s="1357"/>
      <c r="H750" s="1358"/>
      <c r="I750" s="1358"/>
      <c r="J750" s="1359"/>
      <c r="K750" s="1360"/>
      <c r="L750" s="1361"/>
      <c r="M750" s="1361"/>
      <c r="N750" s="1362"/>
      <c r="O750" s="1369"/>
      <c r="P750" s="1370"/>
      <c r="Q750" s="1370"/>
      <c r="R750" s="1370"/>
      <c r="S750" s="1371"/>
      <c r="T750" s="1369"/>
      <c r="U750" s="1370"/>
      <c r="V750" s="1370"/>
      <c r="W750" s="1371"/>
      <c r="X750" s="1389">
        <f t="shared" si="65"/>
        <v>0</v>
      </c>
      <c r="Y750" s="1390"/>
      <c r="Z750" s="1390"/>
      <c r="AA750" s="1390"/>
      <c r="AB750" s="1391"/>
      <c r="AC750" s="1408"/>
      <c r="AD750" s="1409"/>
      <c r="AE750" s="1409"/>
      <c r="AF750" s="1409"/>
      <c r="AG750" s="1410"/>
      <c r="AH750" s="1400" t="str">
        <f t="shared" si="60"/>
        <v/>
      </c>
      <c r="AI750" s="1401"/>
      <c r="AJ750" s="1402"/>
      <c r="AK750" s="1393" t="s">
        <v>600</v>
      </c>
      <c r="AL750" s="1394"/>
      <c r="AM750" s="1394"/>
      <c r="AN750" s="1394"/>
      <c r="AO750" s="139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3"/>
      <c r="C751" s="1394"/>
      <c r="D751" s="1394"/>
      <c r="E751" s="1394"/>
      <c r="F751" s="1395"/>
      <c r="G751" s="1357"/>
      <c r="H751" s="1358"/>
      <c r="I751" s="1358"/>
      <c r="J751" s="1359"/>
      <c r="K751" s="1360"/>
      <c r="L751" s="1361"/>
      <c r="M751" s="1361"/>
      <c r="N751" s="1362"/>
      <c r="O751" s="1369"/>
      <c r="P751" s="1370"/>
      <c r="Q751" s="1370"/>
      <c r="R751" s="1370"/>
      <c r="S751" s="1371"/>
      <c r="T751" s="1369"/>
      <c r="U751" s="1370"/>
      <c r="V751" s="1370"/>
      <c r="W751" s="1371"/>
      <c r="X751" s="1389">
        <f t="shared" si="65"/>
        <v>0</v>
      </c>
      <c r="Y751" s="1390"/>
      <c r="Z751" s="1390"/>
      <c r="AA751" s="1390"/>
      <c r="AB751" s="1391"/>
      <c r="AC751" s="1408"/>
      <c r="AD751" s="1409"/>
      <c r="AE751" s="1409"/>
      <c r="AF751" s="1409"/>
      <c r="AG751" s="1410"/>
      <c r="AH751" s="1400" t="str">
        <f t="shared" si="60"/>
        <v/>
      </c>
      <c r="AI751" s="1401"/>
      <c r="AJ751" s="1402"/>
      <c r="AK751" s="1393" t="s">
        <v>600</v>
      </c>
      <c r="AL751" s="1394"/>
      <c r="AM751" s="1394"/>
      <c r="AN751" s="1394"/>
      <c r="AO751" s="139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3"/>
      <c r="C752" s="1394"/>
      <c r="D752" s="1394"/>
      <c r="E752" s="1394"/>
      <c r="F752" s="1395"/>
      <c r="G752" s="1357"/>
      <c r="H752" s="1358"/>
      <c r="I752" s="1358"/>
      <c r="J752" s="1359"/>
      <c r="K752" s="1360"/>
      <c r="L752" s="1361"/>
      <c r="M752" s="1361"/>
      <c r="N752" s="1362"/>
      <c r="O752" s="1369"/>
      <c r="P752" s="1370"/>
      <c r="Q752" s="1370"/>
      <c r="R752" s="1370"/>
      <c r="S752" s="1371"/>
      <c r="T752" s="1369"/>
      <c r="U752" s="1370"/>
      <c r="V752" s="1370"/>
      <c r="W752" s="1371"/>
      <c r="X752" s="1389">
        <f>O752+T752</f>
        <v>0</v>
      </c>
      <c r="Y752" s="1390"/>
      <c r="Z752" s="1390"/>
      <c r="AA752" s="1390"/>
      <c r="AB752" s="1391"/>
      <c r="AC752" s="1408"/>
      <c r="AD752" s="1409"/>
      <c r="AE752" s="1409"/>
      <c r="AF752" s="1409"/>
      <c r="AG752" s="1410"/>
      <c r="AH752" s="1400" t="str">
        <f>IF($AC752&gt;0,($X752/$BA701), "")</f>
        <v/>
      </c>
      <c r="AI752" s="1401"/>
      <c r="AJ752" s="1402"/>
      <c r="AK752" s="1393" t="s">
        <v>600</v>
      </c>
      <c r="AL752" s="1394"/>
      <c r="AM752" s="1394"/>
      <c r="AN752" s="1394"/>
      <c r="AO752" s="139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52" t="s">
        <v>125</v>
      </c>
      <c r="C753" s="1653"/>
      <c r="D753" s="1653"/>
      <c r="E753" s="1653"/>
      <c r="F753" s="1654"/>
      <c r="G753" s="1649">
        <f>SUM(G718:G752)</f>
        <v>170</v>
      </c>
      <c r="H753" s="1650"/>
      <c r="I753" s="1650"/>
      <c r="J753" s="1651"/>
      <c r="K753" s="937" t="s">
        <v>124</v>
      </c>
      <c r="L753" s="5"/>
      <c r="M753" s="5"/>
      <c r="N753" s="46"/>
      <c r="O753" s="1389">
        <f>SUMPRODUCT(G718:G752,O718:O752)</f>
        <v>158102</v>
      </c>
      <c r="P753" s="1390"/>
      <c r="Q753" s="1390"/>
      <c r="R753" s="1390"/>
      <c r="S753" s="1391"/>
      <c r="T753"/>
      <c r="U753"/>
      <c r="V753"/>
      <c r="W753"/>
      <c r="X753" s="939" t="s">
        <v>916</v>
      </c>
      <c r="Y753" s="938"/>
      <c r="Z753" s="938"/>
      <c r="AA753" s="938"/>
      <c r="AB753" s="940"/>
      <c r="AC753" s="1655">
        <f>BI703</f>
        <v>0.5</v>
      </c>
      <c r="AD753" s="1656"/>
      <c r="AE753" s="1656"/>
      <c r="AF753" s="1656"/>
      <c r="AG753" s="1657"/>
      <c r="AH753" s="1655">
        <f>IFERROR(BV703,"")</f>
        <v>0.50008022837620625</v>
      </c>
      <c r="AI753" s="1656"/>
      <c r="AJ753" s="165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2" t="s">
        <v>2184</v>
      </c>
      <c r="C754" s="1392"/>
      <c r="D754" s="1392"/>
      <c r="E754" s="1392"/>
      <c r="F754" s="1392"/>
      <c r="G754" s="1392"/>
      <c r="H754" s="1392"/>
      <c r="I754" s="1392"/>
      <c r="J754" s="1392"/>
      <c r="K754" s="1392"/>
      <c r="L754" s="1392"/>
      <c r="M754" s="1392"/>
      <c r="N754" s="1392"/>
      <c r="O754" s="1392"/>
      <c r="P754" s="1392"/>
      <c r="Q754" s="1392"/>
      <c r="R754" s="1392"/>
      <c r="S754" s="1392"/>
      <c r="T754" s="1392"/>
      <c r="U754" s="1392"/>
      <c r="V754" s="1392"/>
      <c r="W754" s="1392"/>
      <c r="X754" s="1392"/>
      <c r="Y754" s="1392"/>
      <c r="Z754" s="1392"/>
      <c r="AA754" s="1392"/>
      <c r="AB754" s="1392"/>
      <c r="AC754" s="1392"/>
      <c r="AD754" s="1392"/>
      <c r="AE754" s="1392"/>
      <c r="AF754" s="1392"/>
      <c r="AG754" s="1392"/>
      <c r="AH754" s="139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2"/>
      <c r="C755" s="1392"/>
      <c r="D755" s="1392"/>
      <c r="E755" s="1392"/>
      <c r="F755" s="1392"/>
      <c r="G755" s="1392"/>
      <c r="H755" s="1392"/>
      <c r="I755" s="1392"/>
      <c r="J755" s="1392"/>
      <c r="K755" s="1392"/>
      <c r="L755" s="1392"/>
      <c r="M755" s="1392"/>
      <c r="N755" s="1392"/>
      <c r="O755" s="1392"/>
      <c r="P755" s="1392"/>
      <c r="Q755" s="1392"/>
      <c r="R755" s="1392"/>
      <c r="S755" s="1392"/>
      <c r="T755" s="1392"/>
      <c r="U755" s="1392"/>
      <c r="V755" s="1392"/>
      <c r="W755" s="1392"/>
      <c r="X755" s="1392"/>
      <c r="Y755" s="1392"/>
      <c r="Z755" s="1392"/>
      <c r="AA755" s="1392"/>
      <c r="AB755" s="1392"/>
      <c r="AC755" s="1392"/>
      <c r="AD755" s="1392"/>
      <c r="AE755" s="1392"/>
      <c r="AF755" s="1392"/>
      <c r="AG755" s="1392"/>
      <c r="AH755" s="139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491">
        <f>CS634</f>
        <v>314</v>
      </c>
      <c r="P756" s="1491"/>
      <c r="Q756" s="1491"/>
      <c r="R756" s="1491"/>
      <c r="S756" s="1004"/>
      <c r="T756" s="1004"/>
      <c r="U756" s="118" t="s">
        <v>2183</v>
      </c>
      <c r="V756" s="1067"/>
      <c r="W756" s="1067"/>
      <c r="X756" s="1067"/>
      <c r="Y756" s="1068"/>
      <c r="Z756" s="1068"/>
      <c r="AA756" s="1068"/>
      <c r="AB756" s="1068"/>
      <c r="AC756" s="1067"/>
      <c r="AD756" s="1067"/>
      <c r="AE756" s="1067"/>
      <c r="AF756" s="1067"/>
      <c r="AG756" s="1623"/>
      <c r="AH756" s="1623"/>
      <c r="AI756" s="1623"/>
      <c r="AJ756" s="162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3" t="str">
        <f>IF(G753&lt;&gt;AG440,"! Total Low-Income Units in the Unit Mix Table above does not match the number of Total Low-Income Units on row #"&amp;TEXT(ROW(D440),"#"),"")</f>
        <v/>
      </c>
      <c r="D757" s="1423"/>
      <c r="E757" s="1423"/>
      <c r="F757" s="1423"/>
      <c r="G757" s="1423"/>
      <c r="H757" s="1423"/>
      <c r="I757" s="1423"/>
      <c r="J757" s="1423"/>
      <c r="K757" s="1423"/>
      <c r="L757" s="1423"/>
      <c r="M757" s="1423"/>
      <c r="N757" s="1423"/>
      <c r="O757" s="1423"/>
      <c r="P757" s="1423"/>
      <c r="Q757" s="1423"/>
      <c r="R757" s="1423"/>
      <c r="S757" s="1423"/>
      <c r="T757" s="1423"/>
      <c r="U757" s="1423"/>
      <c r="V757" s="1423"/>
      <c r="W757" s="1423"/>
      <c r="X757" s="1423"/>
      <c r="Y757" s="1423"/>
      <c r="Z757" s="1423"/>
      <c r="AA757" s="1423"/>
      <c r="AB757" s="1423"/>
      <c r="AC757" s="1423"/>
      <c r="AD757" s="1423"/>
      <c r="AE757" s="1423"/>
      <c r="AF757" s="1423"/>
      <c r="AG757" s="1423"/>
      <c r="AH757" s="1423"/>
      <c r="AI757" s="1423"/>
      <c r="AJ757" s="1423"/>
      <c r="AK757" s="1423"/>
      <c r="AL757" s="1423"/>
      <c r="AM757" s="142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3"/>
      <c r="D758" s="1423"/>
      <c r="E758" s="1423"/>
      <c r="F758" s="1423"/>
      <c r="G758" s="1423"/>
      <c r="H758" s="1423"/>
      <c r="I758" s="1423"/>
      <c r="J758" s="1423"/>
      <c r="K758" s="1423"/>
      <c r="L758" s="1423"/>
      <c r="M758" s="1423"/>
      <c r="N758" s="1423"/>
      <c r="O758" s="1423"/>
      <c r="P758" s="1423"/>
      <c r="Q758" s="1423"/>
      <c r="R758" s="1423"/>
      <c r="S758" s="1423"/>
      <c r="T758" s="1423"/>
      <c r="U758" s="1423"/>
      <c r="V758" s="1423"/>
      <c r="W758" s="1423"/>
      <c r="X758" s="1423"/>
      <c r="Y758" s="1423"/>
      <c r="Z758" s="1423"/>
      <c r="AA758" s="1423"/>
      <c r="AB758" s="1423"/>
      <c r="AC758" s="1423"/>
      <c r="AD758" s="1423"/>
      <c r="AE758" s="1423"/>
      <c r="AF758" s="1423"/>
      <c r="AG758" s="1423"/>
      <c r="AH758" s="1423"/>
      <c r="AI758" s="1423"/>
      <c r="AJ758" s="1423"/>
      <c r="AK758" s="1423"/>
      <c r="AL758" s="1423"/>
      <c r="AM758" s="142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3" t="s">
        <v>600</v>
      </c>
      <c r="AE759" s="1403"/>
      <c r="AF759" s="140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2402</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2403</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2" t="s">
        <v>390</v>
      </c>
      <c r="K769" s="1373"/>
      <c r="L769" s="1373"/>
      <c r="M769" s="1373"/>
      <c r="N769" s="1374"/>
      <c r="O769" s="1384" t="s">
        <v>286</v>
      </c>
      <c r="P769" s="1384"/>
      <c r="Q769" s="1384"/>
      <c r="R769" s="1384"/>
      <c r="S769" s="1384"/>
      <c r="T769" s="1765" t="s">
        <v>1869</v>
      </c>
      <c r="U769" s="1766"/>
      <c r="V769" s="1766"/>
      <c r="W769" s="1767"/>
      <c r="X769" s="1372" t="s">
        <v>456</v>
      </c>
      <c r="Y769" s="1373"/>
      <c r="Z769" s="1373"/>
      <c r="AA769" s="1373"/>
      <c r="AB769" s="1374"/>
      <c r="AC769" s="1372" t="s">
        <v>287</v>
      </c>
      <c r="AD769" s="1373"/>
      <c r="AE769" s="1373"/>
      <c r="AF769" s="1373"/>
      <c r="AG769" s="137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5"/>
      <c r="K770" s="1376"/>
      <c r="L770" s="1376"/>
      <c r="M770" s="1376"/>
      <c r="N770" s="1377"/>
      <c r="O770" s="1384"/>
      <c r="P770" s="1384"/>
      <c r="Q770" s="1384"/>
      <c r="R770" s="1384"/>
      <c r="S770" s="1384"/>
      <c r="T770" s="1768"/>
      <c r="U770" s="1769"/>
      <c r="V770" s="1769"/>
      <c r="W770" s="1770"/>
      <c r="X770" s="1375"/>
      <c r="Y770" s="1376"/>
      <c r="Z770" s="1376"/>
      <c r="AA770" s="1376"/>
      <c r="AB770" s="1377"/>
      <c r="AC770" s="1375"/>
      <c r="AD770" s="1376"/>
      <c r="AE770" s="1376"/>
      <c r="AF770" s="1376"/>
      <c r="AG770" s="137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5"/>
      <c r="K771" s="1376"/>
      <c r="L771" s="1376"/>
      <c r="M771" s="1376"/>
      <c r="N771" s="1377"/>
      <c r="O771" s="1384"/>
      <c r="P771" s="1384"/>
      <c r="Q771" s="1384"/>
      <c r="R771" s="1384"/>
      <c r="S771" s="1384"/>
      <c r="T771" s="1768"/>
      <c r="U771" s="1769"/>
      <c r="V771" s="1769"/>
      <c r="W771" s="1770"/>
      <c r="X771" s="1375"/>
      <c r="Y771" s="1376"/>
      <c r="Z771" s="1376"/>
      <c r="AA771" s="1376"/>
      <c r="AB771" s="1377"/>
      <c r="AC771" s="1375"/>
      <c r="AD771" s="1376"/>
      <c r="AE771" s="1376"/>
      <c r="AF771" s="1376"/>
      <c r="AG771" s="137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8"/>
      <c r="K772" s="1379"/>
      <c r="L772" s="1379"/>
      <c r="M772" s="1379"/>
      <c r="N772" s="1380"/>
      <c r="O772" s="1384"/>
      <c r="P772" s="1384"/>
      <c r="Q772" s="1384"/>
      <c r="R772" s="1384"/>
      <c r="S772" s="1384"/>
      <c r="T772" s="1771"/>
      <c r="U772" s="1772"/>
      <c r="V772" s="1772"/>
      <c r="W772" s="1773"/>
      <c r="X772" s="1378"/>
      <c r="Y772" s="1379"/>
      <c r="Z772" s="1379"/>
      <c r="AA772" s="1379"/>
      <c r="AB772" s="1380"/>
      <c r="AC772" s="1378"/>
      <c r="AD772" s="1379"/>
      <c r="AE772" s="1379"/>
      <c r="AF772" s="1379"/>
      <c r="AG772" s="138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3" t="s">
        <v>164</v>
      </c>
      <c r="K773" s="1394"/>
      <c r="L773" s="1394"/>
      <c r="M773" s="1394"/>
      <c r="N773" s="1395"/>
      <c r="O773" s="1365">
        <v>2</v>
      </c>
      <c r="P773" s="1365"/>
      <c r="Q773" s="1365"/>
      <c r="R773" s="1365"/>
      <c r="S773" s="1365"/>
      <c r="T773" s="1360">
        <v>1199</v>
      </c>
      <c r="U773" s="1361"/>
      <c r="V773" s="1361"/>
      <c r="W773" s="1362"/>
      <c r="X773" s="1369"/>
      <c r="Y773" s="1370"/>
      <c r="Z773" s="1370"/>
      <c r="AA773" s="1370"/>
      <c r="AB773" s="1371"/>
      <c r="AC773" s="1389">
        <f>X773*O773</f>
        <v>0</v>
      </c>
      <c r="AD773" s="1390"/>
      <c r="AE773" s="1390"/>
      <c r="AF773" s="1390"/>
      <c r="AG773" s="139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3"/>
      <c r="K774" s="1394"/>
      <c r="L774" s="1394"/>
      <c r="M774" s="1394"/>
      <c r="N774" s="1395"/>
      <c r="O774" s="1365"/>
      <c r="P774" s="1365"/>
      <c r="Q774" s="1365"/>
      <c r="R774" s="1365"/>
      <c r="S774" s="1365"/>
      <c r="T774" s="1360"/>
      <c r="U774" s="1361"/>
      <c r="V774" s="1361"/>
      <c r="W774" s="1362"/>
      <c r="X774" s="1369"/>
      <c r="Y774" s="1370"/>
      <c r="Z774" s="1370"/>
      <c r="AA774" s="1370"/>
      <c r="AB774" s="1371"/>
      <c r="AC774" s="1389">
        <f>X774*O774</f>
        <v>0</v>
      </c>
      <c r="AD774" s="1390"/>
      <c r="AE774" s="1390"/>
      <c r="AF774" s="1390"/>
      <c r="AG774" s="139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3"/>
      <c r="K775" s="1394"/>
      <c r="L775" s="1394"/>
      <c r="M775" s="1394"/>
      <c r="N775" s="1395"/>
      <c r="O775" s="1365"/>
      <c r="P775" s="1365"/>
      <c r="Q775" s="1365"/>
      <c r="R775" s="1365"/>
      <c r="S775" s="1365"/>
      <c r="T775" s="1360"/>
      <c r="U775" s="1361"/>
      <c r="V775" s="1361"/>
      <c r="W775" s="1362"/>
      <c r="X775" s="1369"/>
      <c r="Y775" s="1370"/>
      <c r="Z775" s="1370"/>
      <c r="AA775" s="1370"/>
      <c r="AB775" s="1371"/>
      <c r="AC775" s="1389">
        <f>X775*O775</f>
        <v>0</v>
      </c>
      <c r="AD775" s="1390"/>
      <c r="AE775" s="1390"/>
      <c r="AF775" s="1390"/>
      <c r="AG775" s="139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3"/>
      <c r="K776" s="1394"/>
      <c r="L776" s="1394"/>
      <c r="M776" s="1394"/>
      <c r="N776" s="1395"/>
      <c r="O776" s="1365"/>
      <c r="P776" s="1365"/>
      <c r="Q776" s="1365"/>
      <c r="R776" s="1365"/>
      <c r="S776" s="1365"/>
      <c r="T776" s="1360"/>
      <c r="U776" s="1361"/>
      <c r="V776" s="1361"/>
      <c r="W776" s="1362"/>
      <c r="X776" s="1369"/>
      <c r="Y776" s="1370"/>
      <c r="Z776" s="1370"/>
      <c r="AA776" s="1370"/>
      <c r="AB776" s="1371"/>
      <c r="AC776" s="1389">
        <f>X776*O776</f>
        <v>0</v>
      </c>
      <c r="AD776" s="1390"/>
      <c r="AE776" s="1390"/>
      <c r="AF776" s="1390"/>
      <c r="AG776" s="139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52" t="s">
        <v>125</v>
      </c>
      <c r="K777" s="1653"/>
      <c r="L777" s="1653"/>
      <c r="M777" s="1653"/>
      <c r="N777" s="1654"/>
      <c r="O777" s="1492">
        <f>SUM(O773:S776)</f>
        <v>2</v>
      </c>
      <c r="P777" s="1493"/>
      <c r="Q777" s="1493"/>
      <c r="R777" s="1493"/>
      <c r="S777" s="1494"/>
      <c r="X777" s="1652" t="s">
        <v>124</v>
      </c>
      <c r="Y777" s="1653"/>
      <c r="Z777" s="1653"/>
      <c r="AA777" s="1653"/>
      <c r="AB777" s="1654"/>
      <c r="AC777" s="1389">
        <f>SUM(AC773:AG776)</f>
        <v>0</v>
      </c>
      <c r="AD777" s="1390"/>
      <c r="AE777" s="1390"/>
      <c r="AF777" s="1390"/>
      <c r="AG777" s="139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4" t="s">
        <v>678</v>
      </c>
      <c r="K779" s="1404"/>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2" t="s">
        <v>390</v>
      </c>
      <c r="K783" s="1373"/>
      <c r="L783" s="1373"/>
      <c r="M783" s="1373"/>
      <c r="N783" s="1374"/>
      <c r="O783" s="1384" t="s">
        <v>286</v>
      </c>
      <c r="P783" s="1384"/>
      <c r="Q783" s="1384"/>
      <c r="R783" s="1384"/>
      <c r="S783" s="1384"/>
      <c r="T783" s="1765" t="s">
        <v>1869</v>
      </c>
      <c r="U783" s="1766"/>
      <c r="V783" s="1766"/>
      <c r="W783" s="1767"/>
      <c r="X783" s="1372" t="s">
        <v>456</v>
      </c>
      <c r="Y783" s="1373"/>
      <c r="Z783" s="1373"/>
      <c r="AA783" s="1373"/>
      <c r="AB783" s="1374"/>
      <c r="AC783" s="1372" t="s">
        <v>287</v>
      </c>
      <c r="AD783" s="1373"/>
      <c r="AE783" s="1373"/>
      <c r="AF783" s="1373"/>
      <c r="AG783" s="137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5"/>
      <c r="K784" s="1376"/>
      <c r="L784" s="1376"/>
      <c r="M784" s="1376"/>
      <c r="N784" s="1377"/>
      <c r="O784" s="1384"/>
      <c r="P784" s="1384"/>
      <c r="Q784" s="1384"/>
      <c r="R784" s="1384"/>
      <c r="S784" s="1384"/>
      <c r="T784" s="1768"/>
      <c r="U784" s="1769"/>
      <c r="V784" s="1769"/>
      <c r="W784" s="1770"/>
      <c r="X784" s="1375"/>
      <c r="Y784" s="1376"/>
      <c r="Z784" s="1376"/>
      <c r="AA784" s="1376"/>
      <c r="AB784" s="1377"/>
      <c r="AC784" s="1375"/>
      <c r="AD784" s="1376"/>
      <c r="AE784" s="1376"/>
      <c r="AF784" s="1376"/>
      <c r="AG784" s="13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5"/>
      <c r="K785" s="1376"/>
      <c r="L785" s="1376"/>
      <c r="M785" s="1376"/>
      <c r="N785" s="1377"/>
      <c r="O785" s="1384"/>
      <c r="P785" s="1384"/>
      <c r="Q785" s="1384"/>
      <c r="R785" s="1384"/>
      <c r="S785" s="1384"/>
      <c r="T785" s="1768"/>
      <c r="U785" s="1769"/>
      <c r="V785" s="1769"/>
      <c r="W785" s="1770"/>
      <c r="X785" s="1375"/>
      <c r="Y785" s="1376"/>
      <c r="Z785" s="1376"/>
      <c r="AA785" s="1376"/>
      <c r="AB785" s="1377"/>
      <c r="AC785" s="1375"/>
      <c r="AD785" s="1376"/>
      <c r="AE785" s="1376"/>
      <c r="AF785" s="1376"/>
      <c r="AG785" s="13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8"/>
      <c r="K786" s="1379"/>
      <c r="L786" s="1379"/>
      <c r="M786" s="1379"/>
      <c r="N786" s="1380"/>
      <c r="O786" s="1384"/>
      <c r="P786" s="1384"/>
      <c r="Q786" s="1384"/>
      <c r="R786" s="1384"/>
      <c r="S786" s="1384"/>
      <c r="T786" s="1771"/>
      <c r="U786" s="1772"/>
      <c r="V786" s="1772"/>
      <c r="W786" s="1773"/>
      <c r="X786" s="1378"/>
      <c r="Y786" s="1379"/>
      <c r="Z786" s="1379"/>
      <c r="AA786" s="1379"/>
      <c r="AB786" s="1380"/>
      <c r="AC786" s="1378"/>
      <c r="AD786" s="1379"/>
      <c r="AE786" s="1379"/>
      <c r="AF786" s="1379"/>
      <c r="AG786" s="138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3"/>
      <c r="K787" s="1394"/>
      <c r="L787" s="1394"/>
      <c r="M787" s="1394"/>
      <c r="N787" s="1395"/>
      <c r="O787" s="1365"/>
      <c r="P787" s="1365"/>
      <c r="Q787" s="1365"/>
      <c r="R787" s="1365"/>
      <c r="S787" s="1365"/>
      <c r="T787" s="1360"/>
      <c r="U787" s="1361"/>
      <c r="V787" s="1361"/>
      <c r="W787" s="1362"/>
      <c r="X787" s="1369"/>
      <c r="Y787" s="1370"/>
      <c r="Z787" s="1370"/>
      <c r="AA787" s="1370"/>
      <c r="AB787" s="1371"/>
      <c r="AC787" s="1389">
        <f t="shared" ref="AC787:AC796" si="66">X787*O787</f>
        <v>0</v>
      </c>
      <c r="AD787" s="1390"/>
      <c r="AE787" s="1390"/>
      <c r="AF787" s="1390"/>
      <c r="AG787" s="139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3"/>
      <c r="K788" s="1394"/>
      <c r="L788" s="1394"/>
      <c r="M788" s="1394"/>
      <c r="N788" s="1395"/>
      <c r="O788" s="1365"/>
      <c r="P788" s="1365"/>
      <c r="Q788" s="1365"/>
      <c r="R788" s="1365"/>
      <c r="S788" s="1365"/>
      <c r="T788" s="1360"/>
      <c r="U788" s="1361"/>
      <c r="V788" s="1361"/>
      <c r="W788" s="1362"/>
      <c r="X788" s="1369"/>
      <c r="Y788" s="1370"/>
      <c r="Z788" s="1370"/>
      <c r="AA788" s="1370"/>
      <c r="AB788" s="1371"/>
      <c r="AC788" s="1389">
        <f t="shared" si="66"/>
        <v>0</v>
      </c>
      <c r="AD788" s="1390"/>
      <c r="AE788" s="1390"/>
      <c r="AF788" s="1390"/>
      <c r="AG788" s="139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3"/>
      <c r="K789" s="1394"/>
      <c r="L789" s="1394"/>
      <c r="M789" s="1394"/>
      <c r="N789" s="1395"/>
      <c r="O789" s="1365"/>
      <c r="P789" s="1365"/>
      <c r="Q789" s="1365"/>
      <c r="R789" s="1365"/>
      <c r="S789" s="1365"/>
      <c r="T789" s="1360"/>
      <c r="U789" s="1361"/>
      <c r="V789" s="1361"/>
      <c r="W789" s="1362"/>
      <c r="X789" s="1369"/>
      <c r="Y789" s="1370"/>
      <c r="Z789" s="1370"/>
      <c r="AA789" s="1370"/>
      <c r="AB789" s="1371"/>
      <c r="AC789" s="1389">
        <f t="shared" si="66"/>
        <v>0</v>
      </c>
      <c r="AD789" s="1390"/>
      <c r="AE789" s="1390"/>
      <c r="AF789" s="1390"/>
      <c r="AG789" s="139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3"/>
      <c r="K790" s="1394"/>
      <c r="L790" s="1394"/>
      <c r="M790" s="1394"/>
      <c r="N790" s="1395"/>
      <c r="O790" s="1365"/>
      <c r="P790" s="1365"/>
      <c r="Q790" s="1365"/>
      <c r="R790" s="1365"/>
      <c r="S790" s="1365"/>
      <c r="T790" s="1360"/>
      <c r="U790" s="1361"/>
      <c r="V790" s="1361"/>
      <c r="W790" s="1362"/>
      <c r="X790" s="1369"/>
      <c r="Y790" s="1370"/>
      <c r="Z790" s="1370"/>
      <c r="AA790" s="1370"/>
      <c r="AB790" s="1371"/>
      <c r="AC790" s="1389">
        <f t="shared" si="66"/>
        <v>0</v>
      </c>
      <c r="AD790" s="1390"/>
      <c r="AE790" s="1390"/>
      <c r="AF790" s="1390"/>
      <c r="AG790" s="139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3"/>
      <c r="K791" s="1394"/>
      <c r="L791" s="1394"/>
      <c r="M791" s="1394"/>
      <c r="N791" s="1395"/>
      <c r="O791" s="1365"/>
      <c r="P791" s="1365"/>
      <c r="Q791" s="1365"/>
      <c r="R791" s="1365"/>
      <c r="S791" s="1365"/>
      <c r="T791" s="1360"/>
      <c r="U791" s="1361"/>
      <c r="V791" s="1361"/>
      <c r="W791" s="1362"/>
      <c r="X791" s="1369"/>
      <c r="Y791" s="1370"/>
      <c r="Z791" s="1370"/>
      <c r="AA791" s="1370"/>
      <c r="AB791" s="1371"/>
      <c r="AC791" s="1389">
        <f t="shared" si="66"/>
        <v>0</v>
      </c>
      <c r="AD791" s="1390"/>
      <c r="AE791" s="1390"/>
      <c r="AF791" s="1390"/>
      <c r="AG791" s="139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3"/>
      <c r="K792" s="1394"/>
      <c r="L792" s="1394"/>
      <c r="M792" s="1394"/>
      <c r="N792" s="1395"/>
      <c r="O792" s="1365"/>
      <c r="P792" s="1365"/>
      <c r="Q792" s="1365"/>
      <c r="R792" s="1365"/>
      <c r="S792" s="1365"/>
      <c r="T792" s="1360"/>
      <c r="U792" s="1361"/>
      <c r="V792" s="1361"/>
      <c r="W792" s="1362"/>
      <c r="X792" s="1369"/>
      <c r="Y792" s="1370"/>
      <c r="Z792" s="1370"/>
      <c r="AA792" s="1370"/>
      <c r="AB792" s="1371"/>
      <c r="AC792" s="1389">
        <f t="shared" si="66"/>
        <v>0</v>
      </c>
      <c r="AD792" s="1390"/>
      <c r="AE792" s="1390"/>
      <c r="AF792" s="1390"/>
      <c r="AG792" s="139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3"/>
      <c r="K793" s="1394"/>
      <c r="L793" s="1394"/>
      <c r="M793" s="1394"/>
      <c r="N793" s="1395"/>
      <c r="O793" s="1365"/>
      <c r="P793" s="1365"/>
      <c r="Q793" s="1365"/>
      <c r="R793" s="1365"/>
      <c r="S793" s="1365"/>
      <c r="T793" s="1360"/>
      <c r="U793" s="1361"/>
      <c r="V793" s="1361"/>
      <c r="W793" s="1362"/>
      <c r="X793" s="1369"/>
      <c r="Y793" s="1370"/>
      <c r="Z793" s="1370"/>
      <c r="AA793" s="1370"/>
      <c r="AB793" s="1371"/>
      <c r="AC793" s="1389">
        <f t="shared" si="66"/>
        <v>0</v>
      </c>
      <c r="AD793" s="1390"/>
      <c r="AE793" s="1390"/>
      <c r="AF793" s="1390"/>
      <c r="AG793" s="139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3"/>
      <c r="K794" s="1394"/>
      <c r="L794" s="1394"/>
      <c r="M794" s="1394"/>
      <c r="N794" s="1395"/>
      <c r="O794" s="1365"/>
      <c r="P794" s="1365"/>
      <c r="Q794" s="1365"/>
      <c r="R794" s="1365"/>
      <c r="S794" s="1365"/>
      <c r="T794" s="1360"/>
      <c r="U794" s="1361"/>
      <c r="V794" s="1361"/>
      <c r="W794" s="1362"/>
      <c r="X794" s="1369"/>
      <c r="Y794" s="1370"/>
      <c r="Z794" s="1370"/>
      <c r="AA794" s="1370"/>
      <c r="AB794" s="1371"/>
      <c r="AC794" s="1389">
        <f t="shared" si="66"/>
        <v>0</v>
      </c>
      <c r="AD794" s="1390"/>
      <c r="AE794" s="1390"/>
      <c r="AF794" s="1390"/>
      <c r="AG794" s="139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3"/>
      <c r="K795" s="1394"/>
      <c r="L795" s="1394"/>
      <c r="M795" s="1394"/>
      <c r="N795" s="1395"/>
      <c r="O795" s="1365"/>
      <c r="P795" s="1365"/>
      <c r="Q795" s="1365"/>
      <c r="R795" s="1365"/>
      <c r="S795" s="1365"/>
      <c r="T795" s="1360"/>
      <c r="U795" s="1361"/>
      <c r="V795" s="1361"/>
      <c r="W795" s="1362"/>
      <c r="X795" s="1369"/>
      <c r="Y795" s="1370"/>
      <c r="Z795" s="1370"/>
      <c r="AA795" s="1370"/>
      <c r="AB795" s="1371"/>
      <c r="AC795" s="1389">
        <f t="shared" si="66"/>
        <v>0</v>
      </c>
      <c r="AD795" s="1390"/>
      <c r="AE795" s="1390"/>
      <c r="AF795" s="1390"/>
      <c r="AG795" s="139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3"/>
      <c r="K796" s="1394"/>
      <c r="L796" s="1394"/>
      <c r="M796" s="1394"/>
      <c r="N796" s="1395"/>
      <c r="O796" s="1365"/>
      <c r="P796" s="1365"/>
      <c r="Q796" s="1365"/>
      <c r="R796" s="1365"/>
      <c r="S796" s="1365"/>
      <c r="T796" s="1360"/>
      <c r="U796" s="1361"/>
      <c r="V796" s="1361"/>
      <c r="W796" s="1362"/>
      <c r="X796" s="1369"/>
      <c r="Y796" s="1370"/>
      <c r="Z796" s="1370"/>
      <c r="AA796" s="1370"/>
      <c r="AB796" s="1371"/>
      <c r="AC796" s="1389">
        <f t="shared" si="66"/>
        <v>0</v>
      </c>
      <c r="AD796" s="1390"/>
      <c r="AE796" s="1390"/>
      <c r="AF796" s="1390"/>
      <c r="AG796" s="139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3" t="s">
        <v>478</v>
      </c>
      <c r="BO796" s="1674"/>
      <c r="BP796" s="3"/>
      <c r="BQ796" s="3"/>
      <c r="BR796" s="3"/>
      <c r="BS796" s="14" t="s">
        <v>643</v>
      </c>
      <c r="BT796" s="14"/>
      <c r="BU796" s="14"/>
      <c r="BV796" s="14"/>
      <c r="BW796" s="14"/>
      <c r="BX796" s="14"/>
      <c r="BY796" s="14"/>
      <c r="BZ796" s="14"/>
      <c r="CA796" s="14"/>
      <c r="CB796" s="1670" t="str">
        <f>T189</f>
        <v>Riverside</v>
      </c>
      <c r="CC796" s="1671"/>
      <c r="CD796" s="1671"/>
      <c r="CE796" s="1671"/>
      <c r="CF796" s="1671"/>
      <c r="CG796" s="1671"/>
      <c r="CH796" s="167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52" t="s">
        <v>125</v>
      </c>
      <c r="K797" s="1653"/>
      <c r="L797" s="1653"/>
      <c r="M797" s="1653"/>
      <c r="N797" s="1654"/>
      <c r="O797" s="1490">
        <f>SUM(O787:S796)</f>
        <v>0</v>
      </c>
      <c r="P797" s="1490"/>
      <c r="Q797" s="1490"/>
      <c r="R797" s="1490"/>
      <c r="S797" s="1490"/>
      <c r="T797"/>
      <c r="U797"/>
      <c r="V797"/>
      <c r="W797"/>
      <c r="X797" s="937" t="s">
        <v>124</v>
      </c>
      <c r="Y797" s="11"/>
      <c r="Z797" s="11"/>
      <c r="AA797" s="11"/>
      <c r="AB797" s="944"/>
      <c r="AC797" s="1389">
        <f>SUM(AC787:AG796)</f>
        <v>0</v>
      </c>
      <c r="AD797" s="1390"/>
      <c r="AE797" s="1390"/>
      <c r="AF797" s="1390"/>
      <c r="AG797" s="139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4" t="str">
        <f>IF(O797&lt;&gt;AG438,"! Total market rate units in the Unit Mix Table above does not match the number of  market rate units on row #"&amp;TEXT(ROW(D438),"#"),"")</f>
        <v/>
      </c>
      <c r="D798" s="1434"/>
      <c r="E798" s="1434"/>
      <c r="F798" s="1434"/>
      <c r="G798" s="1434"/>
      <c r="H798" s="1434"/>
      <c r="I798" s="1434"/>
      <c r="J798" s="1434"/>
      <c r="K798" s="1434"/>
      <c r="L798" s="1434"/>
      <c r="M798" s="1434"/>
      <c r="N798" s="1434"/>
      <c r="O798" s="1434"/>
      <c r="P798" s="1434"/>
      <c r="Q798" s="1434"/>
      <c r="R798" s="1434"/>
      <c r="S798" s="1434"/>
      <c r="T798" s="1434"/>
      <c r="U798" s="1434"/>
      <c r="V798" s="1434"/>
      <c r="W798" s="1434"/>
      <c r="X798" s="1434"/>
      <c r="Y798" s="1434"/>
      <c r="Z798" s="1434"/>
      <c r="AA798" s="1434"/>
      <c r="AB798" s="1434"/>
      <c r="AC798" s="1434"/>
      <c r="AD798" s="1434"/>
      <c r="AE798" s="1434"/>
      <c r="AF798" s="1434"/>
      <c r="AG798" s="1434"/>
      <c r="AH798" s="1434"/>
      <c r="AI798" s="1434"/>
      <c r="AJ798" s="1434"/>
      <c r="AK798" s="1434"/>
      <c r="AL798" s="1434"/>
      <c r="AM798" s="1434"/>
      <c r="AN798" s="143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4"/>
      <c r="D799" s="1434"/>
      <c r="E799" s="1434"/>
      <c r="F799" s="1434"/>
      <c r="G799" s="1434"/>
      <c r="H799" s="1434"/>
      <c r="I799" s="1434"/>
      <c r="J799" s="1434"/>
      <c r="K799" s="1434"/>
      <c r="L799" s="1434"/>
      <c r="M799" s="1434"/>
      <c r="N799" s="1434"/>
      <c r="O799" s="1434"/>
      <c r="P799" s="1434"/>
      <c r="Q799" s="1434"/>
      <c r="R799" s="1434"/>
      <c r="S799" s="1434"/>
      <c r="T799" s="1434"/>
      <c r="U799" s="1434"/>
      <c r="V799" s="1434"/>
      <c r="W799" s="1434"/>
      <c r="X799" s="1434"/>
      <c r="Y799" s="1434"/>
      <c r="Z799" s="1434"/>
      <c r="AA799" s="1434"/>
      <c r="AB799" s="1434"/>
      <c r="AC799" s="1434"/>
      <c r="AD799" s="1434"/>
      <c r="AE799" s="1434"/>
      <c r="AF799" s="1434"/>
      <c r="AG799" s="1434"/>
      <c r="AH799" s="1434"/>
      <c r="AI799" s="1434"/>
      <c r="AJ799" s="1434"/>
      <c r="AK799" s="1434"/>
      <c r="AL799" s="1434"/>
      <c r="AM799" s="1434"/>
      <c r="AN799" s="143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2628</v>
      </c>
      <c r="BP799" s="32"/>
      <c r="BQ799" s="32"/>
      <c r="BR799" s="32"/>
      <c r="BS799" s="32"/>
      <c r="BT799" s="32"/>
      <c r="BU799" s="14"/>
      <c r="BV799" s="31" t="s">
        <v>2629</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2">
        <f>O753+AC777+AC797</f>
        <v>158102</v>
      </c>
      <c r="Z800" s="1752"/>
      <c r="AA800" s="1752"/>
      <c r="AB800" s="1752"/>
      <c r="AC800" s="175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2">
        <f>(O753+AC777+AC797)*12</f>
        <v>1897224</v>
      </c>
      <c r="Z801" s="1752"/>
      <c r="AA801" s="1752"/>
      <c r="AB801" s="1752"/>
      <c r="AC801" s="175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6">
        <v>68</v>
      </c>
      <c r="AA806" s="1387"/>
      <c r="AB806" s="1387"/>
      <c r="AC806" s="1387"/>
      <c r="AD806" s="1387"/>
      <c r="AE806" s="138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4">
        <v>20</v>
      </c>
      <c r="AA807" s="1387"/>
      <c r="AB807" s="1387"/>
      <c r="AC807" s="1387"/>
      <c r="AD807" s="1387"/>
      <c r="AE807" s="138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0">
        <v>53723</v>
      </c>
      <c r="AA808" s="1683"/>
      <c r="AB808" s="1683"/>
      <c r="AC808" s="1683"/>
      <c r="AD808" s="1683"/>
      <c r="AE808" s="172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6">
        <f>'Subsidy Contract Calculation'!J40</f>
        <v>1292280</v>
      </c>
      <c r="AA809" s="1367"/>
      <c r="AB809" s="1367"/>
      <c r="AC809" s="1367"/>
      <c r="AD809" s="1367"/>
      <c r="AE809" s="136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6">
        <v>18576</v>
      </c>
      <c r="AA813" s="1397"/>
      <c r="AB813" s="1397"/>
      <c r="AC813" s="1397"/>
      <c r="AD813" s="1397"/>
      <c r="AE813" s="139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6"/>
      <c r="AA814" s="1397"/>
      <c r="AB814" s="1397"/>
      <c r="AC814" s="1397"/>
      <c r="AD814" s="1397"/>
      <c r="AE814" s="139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6"/>
      <c r="AA815" s="1397"/>
      <c r="AB815" s="1397"/>
      <c r="AC815" s="1397"/>
      <c r="AD815" s="1397"/>
      <c r="AE815" s="139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75" t="s">
        <v>335</v>
      </c>
      <c r="Q816" s="1576"/>
      <c r="R816" s="1576"/>
      <c r="S816" s="1576"/>
      <c r="T816" s="1576"/>
      <c r="U816" s="1576"/>
      <c r="V816" s="1576"/>
      <c r="W816" s="1576"/>
      <c r="X816" s="1576"/>
      <c r="Y816" s="1577"/>
      <c r="Z816" s="1396"/>
      <c r="AA816" s="1397"/>
      <c r="AB816" s="1397"/>
      <c r="AC816" s="1397"/>
      <c r="AD816" s="1397"/>
      <c r="AE816" s="139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6">
        <f>SUM(Z813:AE816)</f>
        <v>18576</v>
      </c>
      <c r="AA817" s="1367"/>
      <c r="AB817" s="1367"/>
      <c r="AC817" s="1367"/>
      <c r="AD817" s="1367"/>
      <c r="AE817" s="136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66">
        <f>Z817+Y801+Z809</f>
        <v>3208080</v>
      </c>
      <c r="AA818" s="1367"/>
      <c r="AB818" s="1367"/>
      <c r="AC818" s="1367"/>
      <c r="AD818" s="1367"/>
      <c r="AE818" s="136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4" t="s">
        <v>126</v>
      </c>
      <c r="N823" s="1744"/>
      <c r="O823" s="1744"/>
      <c r="P823" s="1761"/>
      <c r="Q823" s="1385" t="s">
        <v>291</v>
      </c>
      <c r="R823" s="1385"/>
      <c r="S823" s="1385"/>
      <c r="T823" s="1385"/>
      <c r="U823" s="1385" t="s">
        <v>292</v>
      </c>
      <c r="V823" s="1385"/>
      <c r="W823" s="1385"/>
      <c r="X823" s="1385"/>
      <c r="Y823" s="1385" t="s">
        <v>293</v>
      </c>
      <c r="Z823" s="1385"/>
      <c r="AA823" s="1385"/>
      <c r="AB823" s="1385"/>
      <c r="AC823" s="1385" t="s">
        <v>362</v>
      </c>
      <c r="AD823" s="1385"/>
      <c r="AE823" s="1385"/>
      <c r="AF823" s="1385"/>
      <c r="AG823" s="1759" t="s">
        <v>336</v>
      </c>
      <c r="AH823" s="1759"/>
      <c r="AI823" s="1759"/>
      <c r="AJ823" s="175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8"/>
      <c r="N824" s="1588"/>
      <c r="O824" s="1588"/>
      <c r="P824" s="1589"/>
      <c r="Q824" s="1385"/>
      <c r="R824" s="1385"/>
      <c r="S824" s="1385"/>
      <c r="T824" s="1385"/>
      <c r="U824" s="1385"/>
      <c r="V824" s="1385"/>
      <c r="W824" s="1385"/>
      <c r="X824" s="1385"/>
      <c r="Y824" s="1385"/>
      <c r="Z824" s="1385"/>
      <c r="AA824" s="1385"/>
      <c r="AB824" s="1385"/>
      <c r="AC824" s="1385"/>
      <c r="AD824" s="1385"/>
      <c r="AE824" s="1385"/>
      <c r="AF824" s="1385"/>
      <c r="AG824" s="1759"/>
      <c r="AH824" s="1759"/>
      <c r="AI824" s="1759"/>
      <c r="AJ824" s="175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9" t="s">
        <v>40</v>
      </c>
      <c r="D825" s="1451"/>
      <c r="E825" s="1451"/>
      <c r="F825" s="1451"/>
      <c r="G825" s="1451"/>
      <c r="H825" s="1451"/>
      <c r="I825" s="48"/>
      <c r="J825" s="48"/>
      <c r="K825" s="48"/>
      <c r="L825" s="49"/>
      <c r="M825" s="1399"/>
      <c r="N825" s="1399"/>
      <c r="O825" s="1399"/>
      <c r="P825" s="1399"/>
      <c r="Q825" s="1399">
        <v>14</v>
      </c>
      <c r="R825" s="1399"/>
      <c r="S825" s="1399"/>
      <c r="T825" s="1399"/>
      <c r="U825" s="1399">
        <v>18</v>
      </c>
      <c r="V825" s="1399"/>
      <c r="W825" s="1399"/>
      <c r="X825" s="1399"/>
      <c r="Y825" s="1399">
        <v>21</v>
      </c>
      <c r="Z825" s="1399"/>
      <c r="AA825" s="1399"/>
      <c r="AB825" s="1399"/>
      <c r="AC825" s="1381">
        <v>24</v>
      </c>
      <c r="AD825" s="1382"/>
      <c r="AE825" s="1382"/>
      <c r="AF825" s="1383"/>
      <c r="AG825" s="1381"/>
      <c r="AH825" s="1382"/>
      <c r="AI825" s="1382"/>
      <c r="AJ825" s="138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3" t="s">
        <v>41</v>
      </c>
      <c r="D826" s="1364"/>
      <c r="E826" s="1364"/>
      <c r="F826" s="1364"/>
      <c r="G826" s="1364"/>
      <c r="H826" s="1364"/>
      <c r="I826" s="5"/>
      <c r="J826" s="5"/>
      <c r="K826" s="5"/>
      <c r="L826" s="46"/>
      <c r="M826" s="1399"/>
      <c r="N826" s="1399"/>
      <c r="O826" s="1399"/>
      <c r="P826" s="1399"/>
      <c r="Q826" s="1399"/>
      <c r="R826" s="1399"/>
      <c r="S826" s="1399"/>
      <c r="T826" s="1399"/>
      <c r="U826" s="1399"/>
      <c r="V826" s="1399"/>
      <c r="W826" s="1399"/>
      <c r="X826" s="1399"/>
      <c r="Y826" s="1399"/>
      <c r="Z826" s="1399"/>
      <c r="AA826" s="1399"/>
      <c r="AB826" s="1399"/>
      <c r="AC826" s="1381"/>
      <c r="AD826" s="1382"/>
      <c r="AE826" s="1382"/>
      <c r="AF826" s="1383"/>
      <c r="AG826" s="1381"/>
      <c r="AH826" s="1382"/>
      <c r="AI826" s="1382"/>
      <c r="AJ826" s="138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3" t="s">
        <v>42</v>
      </c>
      <c r="D827" s="1364"/>
      <c r="E827" s="1364"/>
      <c r="F827" s="1364"/>
      <c r="G827" s="1364"/>
      <c r="H827" s="1364"/>
      <c r="I827" s="60"/>
      <c r="J827" s="60"/>
      <c r="K827" s="60"/>
      <c r="L827" s="61"/>
      <c r="M827" s="1399"/>
      <c r="N827" s="1399"/>
      <c r="O827" s="1399"/>
      <c r="P827" s="1399"/>
      <c r="Q827" s="1399">
        <v>8</v>
      </c>
      <c r="R827" s="1399"/>
      <c r="S827" s="1399"/>
      <c r="T827" s="1399"/>
      <c r="U827" s="1399">
        <v>11</v>
      </c>
      <c r="V827" s="1399"/>
      <c r="W827" s="1399"/>
      <c r="X827" s="1399"/>
      <c r="Y827" s="1399">
        <v>14</v>
      </c>
      <c r="Z827" s="1399"/>
      <c r="AA827" s="1399"/>
      <c r="AB827" s="1399"/>
      <c r="AC827" s="1381">
        <v>18</v>
      </c>
      <c r="AD827" s="1382"/>
      <c r="AE827" s="1382"/>
      <c r="AF827" s="1383"/>
      <c r="AG827" s="1381"/>
      <c r="AH827" s="1382"/>
      <c r="AI827" s="1382"/>
      <c r="AJ827" s="138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3" t="s">
        <v>772</v>
      </c>
      <c r="D828" s="1364"/>
      <c r="E828" s="1364"/>
      <c r="F828" s="1364"/>
      <c r="G828" s="1364"/>
      <c r="H828" s="1364"/>
      <c r="I828" s="60"/>
      <c r="J828" s="60"/>
      <c r="K828" s="60"/>
      <c r="L828" s="61"/>
      <c r="M828" s="1399"/>
      <c r="N828" s="1399"/>
      <c r="O828" s="1399"/>
      <c r="P828" s="1399"/>
      <c r="Q828" s="1399"/>
      <c r="R828" s="1399"/>
      <c r="S828" s="1399"/>
      <c r="T828" s="1399"/>
      <c r="U828" s="1399"/>
      <c r="V828" s="1399"/>
      <c r="W828" s="1399"/>
      <c r="X828" s="1399"/>
      <c r="Y828" s="1399"/>
      <c r="Z828" s="1399"/>
      <c r="AA828" s="1399"/>
      <c r="AB828" s="1399"/>
      <c r="AC828" s="1381"/>
      <c r="AD828" s="1382"/>
      <c r="AE828" s="1382"/>
      <c r="AF828" s="1383"/>
      <c r="AG828" s="1381"/>
      <c r="AH828" s="1382"/>
      <c r="AI828" s="1382"/>
      <c r="AJ828" s="138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3" t="s">
        <v>468</v>
      </c>
      <c r="D829" s="1364"/>
      <c r="E829" s="1364"/>
      <c r="F829" s="1364"/>
      <c r="G829" s="1364"/>
      <c r="H829" s="1364"/>
      <c r="I829" s="60"/>
      <c r="J829" s="60"/>
      <c r="K829" s="60"/>
      <c r="L829" s="61"/>
      <c r="M829" s="1399"/>
      <c r="N829" s="1399"/>
      <c r="O829" s="1399"/>
      <c r="P829" s="1399"/>
      <c r="Q829" s="1399">
        <v>28</v>
      </c>
      <c r="R829" s="1399"/>
      <c r="S829" s="1399"/>
      <c r="T829" s="1399"/>
      <c r="U829" s="1399">
        <v>44</v>
      </c>
      <c r="V829" s="1399"/>
      <c r="W829" s="1399"/>
      <c r="X829" s="1399"/>
      <c r="Y829" s="1399">
        <v>59</v>
      </c>
      <c r="Z829" s="1399"/>
      <c r="AA829" s="1399"/>
      <c r="AB829" s="1399"/>
      <c r="AC829" s="1381">
        <v>75</v>
      </c>
      <c r="AD829" s="1382"/>
      <c r="AE829" s="1382"/>
      <c r="AF829" s="1383"/>
      <c r="AG829" s="1381"/>
      <c r="AH829" s="1382"/>
      <c r="AI829" s="1382"/>
      <c r="AJ829" s="138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8" t="s">
        <v>793</v>
      </c>
      <c r="D830" s="1364"/>
      <c r="E830" s="1364"/>
      <c r="F830" s="1364"/>
      <c r="G830" s="1364"/>
      <c r="H830" s="1364"/>
      <c r="I830" s="60"/>
      <c r="J830" s="60"/>
      <c r="K830" s="60"/>
      <c r="L830" s="61"/>
      <c r="M830" s="1399"/>
      <c r="N830" s="1399"/>
      <c r="O830" s="1399"/>
      <c r="P830" s="1399"/>
      <c r="Q830" s="1399"/>
      <c r="R830" s="1399"/>
      <c r="S830" s="1399"/>
      <c r="T830" s="1399"/>
      <c r="U830" s="1399"/>
      <c r="V830" s="1399"/>
      <c r="W830" s="1399"/>
      <c r="X830" s="1399"/>
      <c r="Y830" s="1399"/>
      <c r="Z830" s="1399"/>
      <c r="AA830" s="1399"/>
      <c r="AB830" s="1399"/>
      <c r="AC830" s="1381"/>
      <c r="AD830" s="1382"/>
      <c r="AE830" s="1382"/>
      <c r="AF830" s="1383"/>
      <c r="AG830" s="1381"/>
      <c r="AH830" s="1382"/>
      <c r="AI830" s="1382"/>
      <c r="AJ830" s="138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75" t="s">
        <v>2732</v>
      </c>
      <c r="G831" s="1576"/>
      <c r="H831" s="1576"/>
      <c r="I831" s="1576"/>
      <c r="J831" s="1576"/>
      <c r="K831" s="1576"/>
      <c r="L831" s="1576"/>
      <c r="M831" s="1399"/>
      <c r="N831" s="1399"/>
      <c r="O831" s="1399"/>
      <c r="P831" s="1399"/>
      <c r="Q831" s="1399">
        <v>13</v>
      </c>
      <c r="R831" s="1399"/>
      <c r="S831" s="1399"/>
      <c r="T831" s="1399"/>
      <c r="U831" s="1399">
        <v>18</v>
      </c>
      <c r="V831" s="1399"/>
      <c r="W831" s="1399"/>
      <c r="X831" s="1399"/>
      <c r="Y831" s="1399">
        <v>23</v>
      </c>
      <c r="Z831" s="1399"/>
      <c r="AA831" s="1399"/>
      <c r="AB831" s="1399"/>
      <c r="AC831" s="1381">
        <v>28</v>
      </c>
      <c r="AD831" s="1382"/>
      <c r="AE831" s="1382"/>
      <c r="AF831" s="1383"/>
      <c r="AG831" s="1381"/>
      <c r="AH831" s="1382"/>
      <c r="AI831" s="1382"/>
      <c r="AJ831" s="138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52" t="s">
        <v>124</v>
      </c>
      <c r="D832" s="1653"/>
      <c r="E832" s="1653"/>
      <c r="F832" s="1653"/>
      <c r="G832" s="1653"/>
      <c r="H832" s="1653"/>
      <c r="I832" s="1653"/>
      <c r="J832" s="1653"/>
      <c r="K832" s="1653"/>
      <c r="L832" s="1654"/>
      <c r="M832" s="1676">
        <f>SUM(M825:P831)</f>
        <v>0</v>
      </c>
      <c r="N832" s="1676"/>
      <c r="O832" s="1676"/>
      <c r="P832" s="1676"/>
      <c r="Q832" s="1676">
        <f>SUM(Q825:T831)</f>
        <v>63</v>
      </c>
      <c r="R832" s="1676"/>
      <c r="S832" s="1676"/>
      <c r="T832" s="1676"/>
      <c r="U832" s="1676">
        <f>SUM(U825:X831)</f>
        <v>91</v>
      </c>
      <c r="V832" s="1676"/>
      <c r="W832" s="1676"/>
      <c r="X832" s="1676"/>
      <c r="Y832" s="1676">
        <f>SUM(Y825:AB831)</f>
        <v>117</v>
      </c>
      <c r="Z832" s="1676"/>
      <c r="AA832" s="1676"/>
      <c r="AB832" s="1676"/>
      <c r="AC832" s="1676">
        <f>SUM(AC825:AF831)</f>
        <v>145</v>
      </c>
      <c r="AD832" s="1676"/>
      <c r="AE832" s="1676"/>
      <c r="AF832" s="1676"/>
      <c r="AG832" s="1676">
        <f>SUM(AG825:AJ831)</f>
        <v>0</v>
      </c>
      <c r="AH832" s="1676"/>
      <c r="AI832" s="1676"/>
      <c r="AJ832" s="167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7" t="s">
        <v>2733</v>
      </c>
      <c r="D837" s="1678"/>
      <c r="E837" s="1678"/>
      <c r="F837" s="1678"/>
      <c r="G837" s="1678"/>
      <c r="H837" s="1678"/>
      <c r="I837" s="1678"/>
      <c r="J837" s="1678"/>
      <c r="K837" s="1678"/>
      <c r="L837" s="1678"/>
      <c r="M837" s="1678"/>
      <c r="N837" s="1678"/>
      <c r="O837" s="1678"/>
      <c r="P837" s="1678"/>
      <c r="Q837" s="1678"/>
      <c r="R837" s="1678"/>
      <c r="S837" s="1678"/>
      <c r="T837" s="1678"/>
      <c r="U837" s="1678"/>
      <c r="V837" s="1678"/>
      <c r="W837" s="1678"/>
      <c r="X837" s="1678"/>
      <c r="Y837" s="1678"/>
      <c r="Z837" s="1678"/>
      <c r="AA837" s="1678"/>
      <c r="AB837" s="1678"/>
      <c r="AC837" s="1678"/>
      <c r="AD837" s="1678"/>
      <c r="AE837" s="1678"/>
      <c r="AF837" s="1678"/>
      <c r="AG837" s="1678"/>
      <c r="AH837" s="1678"/>
      <c r="AI837" s="1678"/>
      <c r="AJ837" s="167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5">
        <f>ROUNDDOWN(BC939*2,2)</f>
        <v>0</v>
      </c>
      <c r="BJ841" s="1675"/>
      <c r="BK841" s="1675"/>
      <c r="BL841" s="167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6">
        <v>2000</v>
      </c>
      <c r="X842" s="1506"/>
      <c r="Y842" s="1506"/>
      <c r="Z842" s="1506"/>
      <c r="AA842" s="1506"/>
      <c r="AB842" s="1506"/>
      <c r="AC842" s="150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6">
        <v>6270</v>
      </c>
      <c r="X843" s="1506"/>
      <c r="Y843" s="1506"/>
      <c r="Z843" s="1506"/>
      <c r="AA843" s="1506"/>
      <c r="AB843" s="1506"/>
      <c r="AC843" s="1506"/>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6">
        <v>18120</v>
      </c>
      <c r="X844" s="1506"/>
      <c r="Y844" s="1506"/>
      <c r="Z844" s="1506"/>
      <c r="AA844" s="1506"/>
      <c r="AB844" s="1506"/>
      <c r="AC844" s="150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6"/>
      <c r="X845" s="1506"/>
      <c r="Y845" s="1506"/>
      <c r="Z845" s="1506"/>
      <c r="AA845" s="1506"/>
      <c r="AB845" s="1506"/>
      <c r="AC845" s="150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75" t="s">
        <v>2734</v>
      </c>
      <c r="N846" s="1576"/>
      <c r="O846" s="1576"/>
      <c r="P846" s="1576"/>
      <c r="Q846" s="1576"/>
      <c r="R846" s="1576"/>
      <c r="S846" s="1576"/>
      <c r="T846" s="1576"/>
      <c r="U846" s="1576"/>
      <c r="V846" s="1577"/>
      <c r="W846" s="1506">
        <f>5650+7050+11610+3250</f>
        <v>27560</v>
      </c>
      <c r="X846" s="1506"/>
      <c r="Y846" s="1506"/>
      <c r="Z846" s="1506"/>
      <c r="AA846" s="1506"/>
      <c r="AB846" s="1506"/>
      <c r="AC846" s="150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66">
        <f>SUM(W842:AC846)</f>
        <v>53950</v>
      </c>
      <c r="X847" s="1367"/>
      <c r="Y847" s="1367"/>
      <c r="Z847" s="1367"/>
      <c r="AA847" s="1367"/>
      <c r="AB847" s="1367"/>
      <c r="AC847" s="1368"/>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6"/>
      <c r="BH848" s="1666"/>
      <c r="BI848" s="1666"/>
      <c r="BJ848" s="1666"/>
      <c r="BK848" s="1666"/>
      <c r="BL848" s="1666"/>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52" t="s">
        <v>346</v>
      </c>
      <c r="K849" s="1653"/>
      <c r="L849" s="1653"/>
      <c r="M849" s="1653"/>
      <c r="N849" s="1653"/>
      <c r="O849" s="1653"/>
      <c r="P849" s="1653"/>
      <c r="Q849" s="1653"/>
      <c r="R849" s="1653"/>
      <c r="S849" s="1653"/>
      <c r="T849" s="1653"/>
      <c r="U849" s="1653"/>
      <c r="V849" s="1654"/>
      <c r="W849" s="1396">
        <v>92880</v>
      </c>
      <c r="X849" s="1397"/>
      <c r="Y849" s="1397"/>
      <c r="Z849" s="1397"/>
      <c r="AA849" s="1397"/>
      <c r="AB849" s="1397"/>
      <c r="AC849" s="139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35"/>
      <c r="X851" s="1735"/>
      <c r="Y851" s="1735"/>
      <c r="Z851" s="1735"/>
      <c r="AA851" s="1735"/>
      <c r="AB851" s="1735"/>
      <c r="AC851" s="1735"/>
      <c r="AZ851" s="1745">
        <f>SUM(AZ818:AZ846)</f>
        <v>0</v>
      </c>
      <c r="BA851" s="174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5"/>
      <c r="X852" s="1735"/>
      <c r="Y852" s="1735"/>
      <c r="Z852" s="1735"/>
      <c r="AA852" s="1735"/>
      <c r="AB852" s="1735"/>
      <c r="AC852" s="173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35">
        <v>13300</v>
      </c>
      <c r="X853" s="1735"/>
      <c r="Y853" s="1735"/>
      <c r="Z853" s="1735"/>
      <c r="AA853" s="1735"/>
      <c r="AB853" s="1735"/>
      <c r="AC853" s="173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35">
        <f>110000</f>
        <v>110000</v>
      </c>
      <c r="X854" s="1735"/>
      <c r="Y854" s="1735"/>
      <c r="Z854" s="1735"/>
      <c r="AA854" s="1735"/>
      <c r="AB854" s="1735"/>
      <c r="AC854" s="173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8">
        <f>SUM(W851:AC854)</f>
        <v>123300</v>
      </c>
      <c r="X855" s="1758"/>
      <c r="Y855" s="1758"/>
      <c r="Z855" s="1758"/>
      <c r="AA855" s="1758"/>
      <c r="AB855" s="1758"/>
      <c r="AC855" s="175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38">
        <f>62400+71760</f>
        <v>134160</v>
      </c>
      <c r="X857" s="1739"/>
      <c r="Y857" s="1739"/>
      <c r="Z857" s="1739"/>
      <c r="AA857" s="1739"/>
      <c r="AB857" s="1739"/>
      <c r="AC857" s="174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46">
        <v>5</v>
      </c>
      <c r="U858" s="1747"/>
      <c r="V858" s="174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38">
        <f>104000+23920</f>
        <v>127920</v>
      </c>
      <c r="X859" s="1739"/>
      <c r="Y859" s="1739"/>
      <c r="Z859" s="1739"/>
      <c r="AA859" s="1739"/>
      <c r="AB859" s="1739"/>
      <c r="AC859" s="174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46">
        <v>2</v>
      </c>
      <c r="U860" s="1747"/>
      <c r="V860" s="174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75" t="s">
        <v>2735</v>
      </c>
      <c r="N861" s="1576"/>
      <c r="O861" s="1576"/>
      <c r="P861" s="1576"/>
      <c r="Q861" s="1576"/>
      <c r="R861" s="1576"/>
      <c r="S861" s="1576"/>
      <c r="T861" s="1576"/>
      <c r="U861" s="1576"/>
      <c r="V861" s="1577"/>
      <c r="W861" s="1738">
        <f>19750+14240+45944</f>
        <v>79934</v>
      </c>
      <c r="X861" s="1739"/>
      <c r="Y861" s="1739"/>
      <c r="Z861" s="1739"/>
      <c r="AA861" s="1739"/>
      <c r="AB861" s="1739"/>
      <c r="AC861" s="174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9">
        <f>SUM(W857:AC861)</f>
        <v>342014</v>
      </c>
      <c r="X862" s="1750"/>
      <c r="Y862" s="1750"/>
      <c r="Z862" s="1750"/>
      <c r="AA862" s="1750"/>
      <c r="AB862" s="1750"/>
      <c r="AC862" s="175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8">
        <v>91074</v>
      </c>
      <c r="X863" s="1739"/>
      <c r="Y863" s="1739"/>
      <c r="Z863" s="1739"/>
      <c r="AA863" s="1739"/>
      <c r="AB863" s="1739"/>
      <c r="AC863" s="174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06">
        <v>10250</v>
      </c>
      <c r="X865" s="1506"/>
      <c r="Y865" s="1506"/>
      <c r="Z865" s="1506"/>
      <c r="AA865" s="1506"/>
      <c r="AB865" s="1506"/>
      <c r="AC865" s="15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06">
        <v>70890</v>
      </c>
      <c r="X866" s="1506"/>
      <c r="Y866" s="1506"/>
      <c r="Z866" s="1506"/>
      <c r="AA866" s="1506"/>
      <c r="AB866" s="1506"/>
      <c r="AC866" s="15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06">
        <v>71600</v>
      </c>
      <c r="X867" s="1506"/>
      <c r="Y867" s="1506"/>
      <c r="Z867" s="1506"/>
      <c r="AA867" s="1506"/>
      <c r="AB867" s="1506"/>
      <c r="AC867" s="15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06">
        <v>8500</v>
      </c>
      <c r="X868" s="1506"/>
      <c r="Y868" s="1506"/>
      <c r="Z868" s="1506"/>
      <c r="AA868" s="1506"/>
      <c r="AB868" s="1506"/>
      <c r="AC868" s="15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06">
        <v>35490</v>
      </c>
      <c r="X869" s="1506"/>
      <c r="Y869" s="1506"/>
      <c r="Z869" s="1506"/>
      <c r="AA869" s="1506"/>
      <c r="AB869" s="1506"/>
      <c r="AC869" s="15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06">
        <v>8750</v>
      </c>
      <c r="X870" s="1506"/>
      <c r="Y870" s="1506"/>
      <c r="Z870" s="1506"/>
      <c r="AA870" s="1506"/>
      <c r="AB870" s="1506"/>
      <c r="AC870" s="15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75" t="s">
        <v>2736</v>
      </c>
      <c r="N871" s="1576"/>
      <c r="O871" s="1576"/>
      <c r="P871" s="1576"/>
      <c r="Q871" s="1576"/>
      <c r="R871" s="1576"/>
      <c r="S871" s="1576"/>
      <c r="T871" s="1576"/>
      <c r="U871" s="1576"/>
      <c r="V871" s="1577"/>
      <c r="W871" s="1506">
        <f>2550+1500+30000</f>
        <v>34050</v>
      </c>
      <c r="X871" s="1506"/>
      <c r="Y871" s="1506"/>
      <c r="Z871" s="1506"/>
      <c r="AA871" s="1506"/>
      <c r="AB871" s="1506"/>
      <c r="AC871" s="15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2">
        <f>SUM(W865:AC871)</f>
        <v>239530</v>
      </c>
      <c r="X872" s="1752"/>
      <c r="Y872" s="1752"/>
      <c r="Z872" s="1752"/>
      <c r="AA872" s="1752"/>
      <c r="AB872" s="1752"/>
      <c r="AC872" s="175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75" t="s">
        <v>335</v>
      </c>
      <c r="N874" s="1576"/>
      <c r="O874" s="1576"/>
      <c r="P874" s="1576"/>
      <c r="Q874" s="1576"/>
      <c r="R874" s="1576"/>
      <c r="S874" s="1576"/>
      <c r="T874" s="1576"/>
      <c r="U874" s="1576"/>
      <c r="V874" s="1577"/>
      <c r="W874" s="1396"/>
      <c r="X874" s="1397"/>
      <c r="Y874" s="1397"/>
      <c r="Z874" s="1397"/>
      <c r="AA874" s="1397"/>
      <c r="AB874" s="1397"/>
      <c r="AC874" s="139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75" t="s">
        <v>335</v>
      </c>
      <c r="N875" s="1576"/>
      <c r="O875" s="1576"/>
      <c r="P875" s="1576"/>
      <c r="Q875" s="1576"/>
      <c r="R875" s="1576"/>
      <c r="S875" s="1576"/>
      <c r="T875" s="1576"/>
      <c r="U875" s="1576"/>
      <c r="V875" s="1577"/>
      <c r="W875" s="1396"/>
      <c r="X875" s="1397"/>
      <c r="Y875" s="1397"/>
      <c r="Z875" s="1397"/>
      <c r="AA875" s="1397"/>
      <c r="AB875" s="1397"/>
      <c r="AC875" s="139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75" t="s">
        <v>335</v>
      </c>
      <c r="N876" s="1576"/>
      <c r="O876" s="1576"/>
      <c r="P876" s="1576"/>
      <c r="Q876" s="1576"/>
      <c r="R876" s="1576"/>
      <c r="S876" s="1576"/>
      <c r="T876" s="1576"/>
      <c r="U876" s="1576"/>
      <c r="V876" s="1577"/>
      <c r="W876" s="1396"/>
      <c r="X876" s="1397"/>
      <c r="Y876" s="1397"/>
      <c r="Z876" s="1397"/>
      <c r="AA876" s="1397"/>
      <c r="AB876" s="1397"/>
      <c r="AC876" s="139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75" t="s">
        <v>335</v>
      </c>
      <c r="N877" s="1576"/>
      <c r="O877" s="1576"/>
      <c r="P877" s="1576"/>
      <c r="Q877" s="1576"/>
      <c r="R877" s="1576"/>
      <c r="S877" s="1576"/>
      <c r="T877" s="1576"/>
      <c r="U877" s="1576"/>
      <c r="V877" s="1577"/>
      <c r="W877" s="1396"/>
      <c r="X877" s="1397"/>
      <c r="Y877" s="1397"/>
      <c r="Z877" s="1397"/>
      <c r="AA877" s="1397"/>
      <c r="AB877" s="1397"/>
      <c r="AC877" s="139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75" t="s">
        <v>335</v>
      </c>
      <c r="N878" s="1576"/>
      <c r="O878" s="1576"/>
      <c r="P878" s="1576"/>
      <c r="Q878" s="1576"/>
      <c r="R878" s="1576"/>
      <c r="S878" s="1576"/>
      <c r="T878" s="1576"/>
      <c r="U878" s="1576"/>
      <c r="V878" s="1577"/>
      <c r="W878" s="1396"/>
      <c r="X878" s="1397"/>
      <c r="Y878" s="1397"/>
      <c r="Z878" s="1397"/>
      <c r="AA878" s="1397"/>
      <c r="AB878" s="1397"/>
      <c r="AC878" s="139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6">
        <f>SUM(W874:AC878)</f>
        <v>0</v>
      </c>
      <c r="X879" s="1367"/>
      <c r="Y879" s="1367"/>
      <c r="Z879" s="1367"/>
      <c r="AA879" s="1367"/>
      <c r="AB879" s="1367"/>
      <c r="AC879" s="136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7">
        <f>W847+W855+W862+W863+W872+W879+W849</f>
        <v>942748</v>
      </c>
      <c r="AD883" s="1367"/>
      <c r="AE883" s="1367"/>
      <c r="AF883" s="1367"/>
      <c r="AG883" s="1367"/>
      <c r="AH883" s="136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6">
        <f>O797+O777+G753</f>
        <v>172</v>
      </c>
      <c r="AD884" s="1756"/>
      <c r="AE884" s="1756"/>
      <c r="AF884" s="1756"/>
      <c r="AG884" s="1756"/>
      <c r="AH884" s="175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4" t="s">
        <v>32</v>
      </c>
      <c r="F885" s="1664"/>
      <c r="G885" s="1664"/>
      <c r="H885" s="1664"/>
      <c r="I885" s="1664"/>
      <c r="J885" s="1664"/>
      <c r="K885" s="1664"/>
      <c r="L885" s="1664"/>
      <c r="M885" s="1664"/>
      <c r="N885" s="1664"/>
      <c r="O885" s="1664"/>
      <c r="P885" s="1664"/>
      <c r="Q885" s="1664"/>
      <c r="R885" s="1664"/>
      <c r="S885" s="1664"/>
      <c r="T885" s="1664"/>
      <c r="U885" s="1664"/>
      <c r="V885" s="1664"/>
      <c r="W885" s="1664"/>
      <c r="X885" s="1664"/>
      <c r="Y885" s="1664"/>
      <c r="Z885" s="1664"/>
      <c r="AA885" s="1664"/>
      <c r="AB885" s="1665"/>
      <c r="AC885" s="1752">
        <f>IF(ISERROR((ROUNDDOWN(AC883/AC884,0))),0,(ROUNDDOWN(AC883/AC884,0)))</f>
        <v>5481</v>
      </c>
      <c r="AD885" s="1752"/>
      <c r="AE885" s="1752"/>
      <c r="AF885" s="1752"/>
      <c r="AG885" s="1752"/>
      <c r="AH885" s="175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6">
        <v>724378</v>
      </c>
      <c r="AD886" s="1737"/>
      <c r="AE886" s="1737"/>
      <c r="AF886" s="1737"/>
      <c r="AG886" s="1737"/>
      <c r="AH886" s="173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398"/>
      <c r="AD887" s="1506"/>
      <c r="AE887" s="1506"/>
      <c r="AF887" s="1506"/>
      <c r="AG887" s="1506"/>
      <c r="AH887" s="15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97">
        <v>115000</v>
      </c>
      <c r="AD888" s="1397"/>
      <c r="AE888" s="1397"/>
      <c r="AF888" s="1397"/>
      <c r="AG888" s="1397"/>
      <c r="AH888" s="139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7">
        <v>51600</v>
      </c>
      <c r="AD889" s="1397"/>
      <c r="AE889" s="1397"/>
      <c r="AF889" s="1397"/>
      <c r="AG889" s="1397"/>
      <c r="AH889" s="139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81">
        <f>4000</f>
        <v>4000</v>
      </c>
      <c r="AD890" s="1382"/>
      <c r="AE890" s="1382"/>
      <c r="AF890" s="1382"/>
      <c r="AG890" s="1382"/>
      <c r="AH890" s="138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7">
        <v>34288</v>
      </c>
      <c r="AD891" s="1397"/>
      <c r="AE891" s="1397"/>
      <c r="AF891" s="1397"/>
      <c r="AG891" s="1397"/>
      <c r="AH891" s="139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397"/>
      <c r="AD892" s="1397"/>
      <c r="AE892" s="1397"/>
      <c r="AF892" s="1397"/>
      <c r="AG892" s="1397"/>
      <c r="AH892" s="139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3" t="s">
        <v>976</v>
      </c>
      <c r="D893" s="1754"/>
      <c r="E893" s="1754"/>
      <c r="F893" s="1754"/>
      <c r="G893" s="1754"/>
      <c r="H893" s="1754"/>
      <c r="I893" s="1754"/>
      <c r="J893" s="1754"/>
      <c r="K893" s="1754"/>
      <c r="L893" s="1754"/>
      <c r="M893" s="1754"/>
      <c r="N893" s="1754"/>
      <c r="O893" s="1754"/>
      <c r="P893" s="1754"/>
      <c r="Q893" s="1754"/>
      <c r="R893" s="1754"/>
      <c r="S893" s="1754"/>
      <c r="T893" s="1754"/>
      <c r="U893" s="1754"/>
      <c r="V893" s="1754"/>
      <c r="W893" s="1754"/>
      <c r="X893" s="1754"/>
      <c r="Y893" s="1754"/>
      <c r="Z893" s="1754"/>
      <c r="AA893" s="1754"/>
      <c r="AB893" s="1755"/>
      <c r="AC893" s="1506"/>
      <c r="AD893" s="1506"/>
      <c r="AE893" s="1506"/>
      <c r="AF893" s="1506"/>
      <c r="AG893" s="1506"/>
      <c r="AH893" s="15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3" t="s">
        <v>976</v>
      </c>
      <c r="D894" s="1754"/>
      <c r="E894" s="1754"/>
      <c r="F894" s="1754"/>
      <c r="G894" s="1754"/>
      <c r="H894" s="1754"/>
      <c r="I894" s="1754"/>
      <c r="J894" s="1754"/>
      <c r="K894" s="1754"/>
      <c r="L894" s="1754"/>
      <c r="M894" s="1754"/>
      <c r="N894" s="1754"/>
      <c r="O894" s="1754"/>
      <c r="P894" s="1754"/>
      <c r="Q894" s="1754"/>
      <c r="R894" s="1754"/>
      <c r="S894" s="1754"/>
      <c r="T894" s="1754"/>
      <c r="U894" s="1754"/>
      <c r="V894" s="1754"/>
      <c r="W894" s="1754"/>
      <c r="X894" s="1754"/>
      <c r="Y894" s="1754"/>
      <c r="Z894" s="1754"/>
      <c r="AA894" s="1754"/>
      <c r="AB894" s="1755"/>
      <c r="AC894" s="1506"/>
      <c r="AD894" s="1506"/>
      <c r="AE894" s="1506"/>
      <c r="AF894" s="1506"/>
      <c r="AG894" s="1506"/>
      <c r="AH894" s="15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6"/>
      <c r="AA898" s="1397"/>
      <c r="AB898" s="1397"/>
      <c r="AC898" s="1397"/>
      <c r="AD898" s="1397"/>
      <c r="AE898" s="1398"/>
      <c r="AF898" s="567"/>
      <c r="AZ898" s="34"/>
      <c r="BB898" s="30"/>
      <c r="BC898" s="850"/>
      <c r="BD898" s="1742"/>
      <c r="BE898" s="174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6"/>
      <c r="AA899" s="1397"/>
      <c r="AB899" s="1397"/>
      <c r="AC899" s="1397"/>
      <c r="AD899" s="1397"/>
      <c r="AE899" s="1398"/>
      <c r="AZ899" s="34"/>
      <c r="BB899" s="30"/>
      <c r="BC899" s="850"/>
      <c r="BD899" s="1742"/>
      <c r="BE899" s="174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6"/>
      <c r="AA900" s="1397"/>
      <c r="AB900" s="1397"/>
      <c r="AC900" s="1397"/>
      <c r="AD900" s="1397"/>
      <c r="AE900" s="1398"/>
      <c r="AZ900" s="34"/>
      <c r="BB900" s="30"/>
      <c r="BC900" s="850"/>
      <c r="BD900" s="1666"/>
      <c r="BE900" s="166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6">
        <f>Z898-(Z899+Z900)</f>
        <v>0</v>
      </c>
      <c r="AA901" s="1367"/>
      <c r="AB901" s="1367"/>
      <c r="AC901" s="1367"/>
      <c r="AD901" s="1367"/>
      <c r="AE901" s="1368"/>
      <c r="AZ901" s="34"/>
      <c r="BB901" s="30"/>
      <c r="BC901" s="850"/>
      <c r="BD901" s="1666"/>
      <c r="BE901" s="166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6"/>
      <c r="BE902" s="166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2"/>
      <c r="BE903" s="166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1"/>
      <c r="BE904" s="1741"/>
      <c r="BF904" s="174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5"/>
      <c r="BE905" s="1675"/>
      <c r="BF905" s="167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6"/>
      <c r="BE906" s="166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2"/>
      <c r="BE907" s="166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6" t="s">
        <v>96</v>
      </c>
      <c r="B909" s="1466"/>
      <c r="C909" s="1466"/>
      <c r="D909" s="1466"/>
      <c r="E909" s="1466"/>
      <c r="F909" s="1466"/>
      <c r="G909" s="1466"/>
      <c r="H909" s="1466"/>
      <c r="I909" s="1466"/>
      <c r="J909" s="1466"/>
      <c r="K909" s="1466"/>
      <c r="L909" s="1466"/>
      <c r="M909" s="1466"/>
      <c r="N909" s="1466"/>
      <c r="O909" s="1466"/>
      <c r="P909" s="1466"/>
      <c r="Q909" s="1466"/>
      <c r="R909" s="1466"/>
      <c r="S909" s="1466"/>
      <c r="T909" s="1466"/>
      <c r="U909" s="1466"/>
      <c r="V909" s="1466"/>
      <c r="W909" s="1466"/>
      <c r="X909" s="1466"/>
      <c r="Y909" s="1466"/>
      <c r="Z909" s="1466"/>
      <c r="AA909" s="1466"/>
      <c r="AB909" s="1466"/>
      <c r="AC909" s="1466"/>
      <c r="AD909" s="1466"/>
      <c r="AE909" s="1466"/>
      <c r="AF909" s="1466"/>
      <c r="AG909" s="1466"/>
      <c r="AH909" s="1466"/>
      <c r="AI909" s="1466"/>
      <c r="AJ909" s="1466"/>
      <c r="AK909" s="1466"/>
      <c r="AL909" s="1466"/>
      <c r="AM909" s="1466"/>
      <c r="AN909" s="1466"/>
      <c r="AO909" s="1466"/>
      <c r="AP909" s="1466"/>
      <c r="AQ909" s="1466"/>
      <c r="AR909" s="1466"/>
      <c r="AS909" s="1466"/>
      <c r="AT909" s="1466"/>
      <c r="AZ909" s="34"/>
      <c r="BA909" s="34"/>
      <c r="BB909" s="30"/>
      <c r="BC909" s="30"/>
      <c r="BD909" s="1742"/>
      <c r="BE909" s="166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6"/>
      <c r="B910" s="1466"/>
      <c r="C910" s="1466"/>
      <c r="D910" s="1466"/>
      <c r="E910" s="1466"/>
      <c r="F910" s="1466"/>
      <c r="G910" s="1466"/>
      <c r="H910" s="1466"/>
      <c r="I910" s="1466"/>
      <c r="J910" s="1466"/>
      <c r="K910" s="1466"/>
      <c r="L910" s="1466"/>
      <c r="M910" s="1466"/>
      <c r="N910" s="1466"/>
      <c r="O910" s="1466"/>
      <c r="P910" s="1466"/>
      <c r="Q910" s="1466"/>
      <c r="R910" s="1466"/>
      <c r="S910" s="1466"/>
      <c r="T910" s="1466"/>
      <c r="U910" s="1466"/>
      <c r="V910" s="1466"/>
      <c r="W910" s="1466"/>
      <c r="X910" s="1466"/>
      <c r="Y910" s="1466"/>
      <c r="Z910" s="1466"/>
      <c r="AA910" s="1466"/>
      <c r="AB910" s="1466"/>
      <c r="AC910" s="1466"/>
      <c r="AD910" s="1466"/>
      <c r="AE910" s="1466"/>
      <c r="AF910" s="1466"/>
      <c r="AG910" s="1466"/>
      <c r="AH910" s="1466"/>
      <c r="AI910" s="1466"/>
      <c r="AJ910" s="1466"/>
      <c r="AK910" s="1466"/>
      <c r="AL910" s="1466"/>
      <c r="AM910" s="1466"/>
      <c r="AN910" s="1466"/>
      <c r="AO910" s="1466"/>
      <c r="AP910" s="1466"/>
      <c r="AQ910" s="1466"/>
      <c r="AR910" s="1466"/>
      <c r="AS910" s="1466"/>
      <c r="AT910" s="146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3" t="s">
        <v>802</v>
      </c>
      <c r="G914" s="1544"/>
      <c r="H914" s="1544"/>
      <c r="I914" s="1544"/>
      <c r="J914" s="1544"/>
      <c r="K914" s="1544"/>
      <c r="L914" s="1544"/>
      <c r="M914" s="1544"/>
      <c r="N914" s="1544"/>
      <c r="O914" s="1544"/>
      <c r="P914" s="1544"/>
      <c r="Q914" s="1544"/>
      <c r="R914" s="1544"/>
      <c r="S914" s="1544"/>
      <c r="T914" s="1545"/>
      <c r="U914" s="1743" t="s">
        <v>31</v>
      </c>
      <c r="V914" s="1744"/>
      <c r="W914" s="1744"/>
      <c r="X914" s="1744"/>
      <c r="Y914" s="1744"/>
      <c r="Z914" s="174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4" t="s">
        <v>828</v>
      </c>
      <c r="G915" s="1585"/>
      <c r="H915" s="1585"/>
      <c r="I915" s="1585"/>
      <c r="J915" s="1585"/>
      <c r="K915" s="1585"/>
      <c r="L915" s="1585"/>
      <c r="M915" s="1585"/>
      <c r="N915" s="1585"/>
      <c r="O915" s="1585"/>
      <c r="P915" s="1585"/>
      <c r="Q915" s="1585"/>
      <c r="R915" s="1585"/>
      <c r="S915" s="1585"/>
      <c r="T915" s="1586"/>
      <c r="U915" s="1584"/>
      <c r="V915" s="1585"/>
      <c r="W915" s="1585"/>
      <c r="X915" s="1585"/>
      <c r="Y915" s="1585"/>
      <c r="Z915" s="158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7"/>
      <c r="G916" s="1588"/>
      <c r="H916" s="1588"/>
      <c r="I916" s="1588"/>
      <c r="J916" s="1588"/>
      <c r="K916" s="1588"/>
      <c r="L916" s="1588"/>
      <c r="M916" s="1588"/>
      <c r="N916" s="1588"/>
      <c r="O916" s="1588"/>
      <c r="P916" s="1588"/>
      <c r="Q916" s="1588"/>
      <c r="R916" s="1588"/>
      <c r="S916" s="1588"/>
      <c r="T916" s="1589"/>
      <c r="U916" s="1587"/>
      <c r="V916" s="1588"/>
      <c r="W916" s="1588"/>
      <c r="X916" s="1588"/>
      <c r="Y916" s="1588"/>
      <c r="Z916" s="1588"/>
      <c r="AA916" s="108"/>
      <c r="AB916" s="1722" t="s">
        <v>392</v>
      </c>
      <c r="AC916" s="1722"/>
      <c r="AD916" s="1722"/>
      <c r="AE916" s="172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35" t="s">
        <v>554</v>
      </c>
      <c r="V917" s="1436"/>
      <c r="W917" s="1436"/>
      <c r="X917" s="1436"/>
      <c r="Y917" s="1436"/>
      <c r="Z917" s="1437"/>
      <c r="AA917" s="1438">
        <f>AM554</f>
        <v>49430297</v>
      </c>
      <c r="AB917" s="1439"/>
      <c r="AC917" s="1439"/>
      <c r="AD917" s="1439"/>
      <c r="AE917" s="1439"/>
      <c r="AF917" s="144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35" t="s">
        <v>554</v>
      </c>
      <c r="V918" s="1436"/>
      <c r="W918" s="1436"/>
      <c r="X918" s="1436"/>
      <c r="Y918" s="1436"/>
      <c r="Z918" s="1437"/>
      <c r="AA918" s="1438">
        <f>AM555</f>
        <v>28677703</v>
      </c>
      <c r="AB918" s="1439"/>
      <c r="AC918" s="1439"/>
      <c r="AD918" s="1439"/>
      <c r="AE918" s="1439"/>
      <c r="AF918" s="144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35" t="s">
        <v>600</v>
      </c>
      <c r="V919" s="1436"/>
      <c r="W919" s="1436"/>
      <c r="X919" s="1436"/>
      <c r="Y919" s="1436"/>
      <c r="Z919" s="1437"/>
      <c r="AA919" s="1438"/>
      <c r="AB919" s="1439"/>
      <c r="AC919" s="1439"/>
      <c r="AD919" s="1439"/>
      <c r="AE919" s="1439"/>
      <c r="AF919" s="14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35" t="s">
        <v>600</v>
      </c>
      <c r="V920" s="1436"/>
      <c r="W920" s="1436"/>
      <c r="X920" s="1436"/>
      <c r="Y920" s="1436"/>
      <c r="Z920" s="1437"/>
      <c r="AA920" s="1438"/>
      <c r="AB920" s="1439"/>
      <c r="AC920" s="1439"/>
      <c r="AD920" s="1439"/>
      <c r="AE920" s="1439"/>
      <c r="AF920" s="14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35" t="s">
        <v>600</v>
      </c>
      <c r="V921" s="1436"/>
      <c r="W921" s="1436"/>
      <c r="X921" s="1436"/>
      <c r="Y921" s="1436"/>
      <c r="Z921" s="1437"/>
      <c r="AA921" s="1438"/>
      <c r="AB921" s="1439"/>
      <c r="AC921" s="1439"/>
      <c r="AD921" s="1439"/>
      <c r="AE921" s="1439"/>
      <c r="AF921" s="144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35" t="s">
        <v>600</v>
      </c>
      <c r="V922" s="1436"/>
      <c r="W922" s="1436"/>
      <c r="X922" s="1436"/>
      <c r="Y922" s="1436"/>
      <c r="Z922" s="1437"/>
      <c r="AA922" s="1438"/>
      <c r="AB922" s="1439"/>
      <c r="AC922" s="1439"/>
      <c r="AD922" s="1439"/>
      <c r="AE922" s="1439"/>
      <c r="AF922" s="144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35" t="s">
        <v>600</v>
      </c>
      <c r="V923" s="1436"/>
      <c r="W923" s="1436"/>
      <c r="X923" s="1436"/>
      <c r="Y923" s="1436"/>
      <c r="Z923" s="1437"/>
      <c r="AA923" s="1438"/>
      <c r="AB923" s="1439"/>
      <c r="AC923" s="1439"/>
      <c r="AD923" s="1439"/>
      <c r="AE923" s="1439"/>
      <c r="AF923" s="144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35" t="s">
        <v>600</v>
      </c>
      <c r="V924" s="1436"/>
      <c r="W924" s="1436"/>
      <c r="X924" s="1436"/>
      <c r="Y924" s="1436"/>
      <c r="Z924" s="1437"/>
      <c r="AA924" s="1438"/>
      <c r="AB924" s="1439"/>
      <c r="AC924" s="1439"/>
      <c r="AD924" s="1439"/>
      <c r="AE924" s="1439"/>
      <c r="AF924" s="144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90" t="s">
        <v>2552</v>
      </c>
      <c r="G925" s="1591"/>
      <c r="H925" s="1591"/>
      <c r="I925" s="1591"/>
      <c r="J925" s="1591"/>
      <c r="K925" s="1591"/>
      <c r="L925" s="1591"/>
      <c r="M925" s="1591"/>
      <c r="N925" s="1591"/>
      <c r="O925" s="1591"/>
      <c r="P925" s="1591"/>
      <c r="Q925" s="1591"/>
      <c r="R925" s="1591"/>
      <c r="S925" s="1591"/>
      <c r="T925" s="1592"/>
      <c r="U925" s="1435" t="s">
        <v>600</v>
      </c>
      <c r="V925" s="1436"/>
      <c r="W925" s="1436"/>
      <c r="X925" s="1436"/>
      <c r="Y925" s="1436"/>
      <c r="Z925" s="1437"/>
      <c r="AA925" s="1438"/>
      <c r="AB925" s="1439"/>
      <c r="AC925" s="1439"/>
      <c r="AD925" s="1439"/>
      <c r="AE925" s="1439"/>
      <c r="AF925" s="144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90" t="s">
        <v>688</v>
      </c>
      <c r="G926" s="1591"/>
      <c r="H926" s="1591"/>
      <c r="I926" s="1591"/>
      <c r="J926" s="1591"/>
      <c r="K926" s="1591"/>
      <c r="L926" s="1591"/>
      <c r="M926" s="1591"/>
      <c r="N926" s="1591"/>
      <c r="O926" s="1591"/>
      <c r="P926" s="1591"/>
      <c r="Q926" s="1591"/>
      <c r="R926" s="1591"/>
      <c r="S926" s="1591"/>
      <c r="T926" s="1592"/>
      <c r="U926" s="1435" t="s">
        <v>600</v>
      </c>
      <c r="V926" s="1436"/>
      <c r="W926" s="1436"/>
      <c r="X926" s="1436"/>
      <c r="Y926" s="1436"/>
      <c r="Z926" s="1437"/>
      <c r="AA926" s="1438"/>
      <c r="AB926" s="1439"/>
      <c r="AC926" s="1439"/>
      <c r="AD926" s="1439"/>
      <c r="AE926" s="1439"/>
      <c r="AF926" s="144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90" t="s">
        <v>2553</v>
      </c>
      <c r="G927" s="1591"/>
      <c r="H927" s="1591"/>
      <c r="I927" s="1591"/>
      <c r="J927" s="1591"/>
      <c r="K927" s="1591"/>
      <c r="L927" s="1591"/>
      <c r="M927" s="1591"/>
      <c r="N927" s="1591"/>
      <c r="O927" s="1591"/>
      <c r="P927" s="1591"/>
      <c r="Q927" s="1591"/>
      <c r="R927" s="1591"/>
      <c r="S927" s="1591"/>
      <c r="T927" s="1592"/>
      <c r="U927" s="1435" t="s">
        <v>600</v>
      </c>
      <c r="V927" s="1436"/>
      <c r="W927" s="1436"/>
      <c r="X927" s="1436"/>
      <c r="Y927" s="1436"/>
      <c r="Z927" s="1437"/>
      <c r="AA927" s="1438"/>
      <c r="AB927" s="1439"/>
      <c r="AC927" s="1439"/>
      <c r="AD927" s="1439"/>
      <c r="AE927" s="1439"/>
      <c r="AF927" s="144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90" t="s">
        <v>2554</v>
      </c>
      <c r="G928" s="1591"/>
      <c r="H928" s="1591"/>
      <c r="I928" s="1591"/>
      <c r="J928" s="1591"/>
      <c r="K928" s="1591"/>
      <c r="L928" s="1591"/>
      <c r="M928" s="1591"/>
      <c r="N928" s="1591"/>
      <c r="O928" s="1591"/>
      <c r="P928" s="1591"/>
      <c r="Q928" s="1591"/>
      <c r="R928" s="1591"/>
      <c r="S928" s="1591"/>
      <c r="T928" s="1592"/>
      <c r="U928" s="1435" t="s">
        <v>600</v>
      </c>
      <c r="V928" s="1436"/>
      <c r="W928" s="1436"/>
      <c r="X928" s="1436"/>
      <c r="Y928" s="1436"/>
      <c r="Z928" s="1437"/>
      <c r="AA928" s="1438"/>
      <c r="AB928" s="1439"/>
      <c r="AC928" s="1439"/>
      <c r="AD928" s="1439"/>
      <c r="AE928" s="1439"/>
      <c r="AF928" s="144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90" t="s">
        <v>2555</v>
      </c>
      <c r="G929" s="1591"/>
      <c r="H929" s="1591"/>
      <c r="I929" s="1591"/>
      <c r="J929" s="1591"/>
      <c r="K929" s="1591"/>
      <c r="L929" s="1591"/>
      <c r="M929" s="1591"/>
      <c r="N929" s="1591"/>
      <c r="O929" s="1591"/>
      <c r="P929" s="1591"/>
      <c r="Q929" s="1591"/>
      <c r="R929" s="1591"/>
      <c r="S929" s="1591"/>
      <c r="T929" s="1592"/>
      <c r="U929" s="1435" t="s">
        <v>600</v>
      </c>
      <c r="V929" s="1436"/>
      <c r="W929" s="1436"/>
      <c r="X929" s="1436"/>
      <c r="Y929" s="1436"/>
      <c r="Z929" s="1437"/>
      <c r="AA929" s="1438"/>
      <c r="AB929" s="1439"/>
      <c r="AC929" s="1439"/>
      <c r="AD929" s="1439"/>
      <c r="AE929" s="1439"/>
      <c r="AF929" s="144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90" t="s">
        <v>2556</v>
      </c>
      <c r="G930" s="1591"/>
      <c r="H930" s="1591"/>
      <c r="I930" s="1591"/>
      <c r="J930" s="1591"/>
      <c r="K930" s="1591"/>
      <c r="L930" s="1591"/>
      <c r="M930" s="1591"/>
      <c r="N930" s="1591"/>
      <c r="O930" s="1591"/>
      <c r="P930" s="1591"/>
      <c r="Q930" s="1591"/>
      <c r="R930" s="1591"/>
      <c r="S930" s="1591"/>
      <c r="T930" s="1592"/>
      <c r="U930" s="1435" t="s">
        <v>600</v>
      </c>
      <c r="V930" s="1436"/>
      <c r="W930" s="1436"/>
      <c r="X930" s="1436"/>
      <c r="Y930" s="1436"/>
      <c r="Z930" s="1437"/>
      <c r="AA930" s="1438"/>
      <c r="AB930" s="1439"/>
      <c r="AC930" s="1439"/>
      <c r="AD930" s="1439"/>
      <c r="AE930" s="1439"/>
      <c r="AF930" s="144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90" t="s">
        <v>2557</v>
      </c>
      <c r="G931" s="1591"/>
      <c r="H931" s="1591"/>
      <c r="I931" s="1591"/>
      <c r="J931" s="1591"/>
      <c r="K931" s="1591"/>
      <c r="L931" s="1591"/>
      <c r="M931" s="1591"/>
      <c r="N931" s="1591"/>
      <c r="O931" s="1591"/>
      <c r="P931" s="1591"/>
      <c r="Q931" s="1591"/>
      <c r="R931" s="1591"/>
      <c r="S931" s="1591"/>
      <c r="T931" s="1592"/>
      <c r="U931" s="1435" t="s">
        <v>600</v>
      </c>
      <c r="V931" s="1436"/>
      <c r="W931" s="1436"/>
      <c r="X931" s="1436"/>
      <c r="Y931" s="1436"/>
      <c r="Z931" s="1437"/>
      <c r="AA931" s="1438"/>
      <c r="AB931" s="1439"/>
      <c r="AC931" s="1439"/>
      <c r="AD931" s="1439"/>
      <c r="AE931" s="1439"/>
      <c r="AF931" s="144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35" t="s">
        <v>600</v>
      </c>
      <c r="V932" s="1436"/>
      <c r="W932" s="1436"/>
      <c r="X932" s="1436"/>
      <c r="Y932" s="1436"/>
      <c r="Z932" s="1437"/>
      <c r="AA932" s="1438"/>
      <c r="AB932" s="1439"/>
      <c r="AC932" s="1439"/>
      <c r="AD932" s="1439"/>
      <c r="AE932" s="1439"/>
      <c r="AF932" s="144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35" t="s">
        <v>554</v>
      </c>
      <c r="V933" s="1436"/>
      <c r="W933" s="1436"/>
      <c r="X933" s="1436"/>
      <c r="Y933" s="1436"/>
      <c r="Z933" s="1437"/>
      <c r="AA933" s="1438"/>
      <c r="AB933" s="1439"/>
      <c r="AC933" s="1439"/>
      <c r="AD933" s="1439"/>
      <c r="AE933" s="1439"/>
      <c r="AF933" s="144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35" t="s">
        <v>600</v>
      </c>
      <c r="V934" s="1436"/>
      <c r="W934" s="1436"/>
      <c r="X934" s="1436"/>
      <c r="Y934" s="1436"/>
      <c r="Z934" s="1437"/>
      <c r="AA934" s="1438"/>
      <c r="AB934" s="1439"/>
      <c r="AC934" s="1439"/>
      <c r="AD934" s="1439"/>
      <c r="AE934" s="1439"/>
      <c r="AF934" s="144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7" t="s">
        <v>2561</v>
      </c>
      <c r="G935" s="1598"/>
      <c r="H935" s="1598"/>
      <c r="I935" s="1598"/>
      <c r="J935" s="1598"/>
      <c r="K935" s="1598"/>
      <c r="L935" s="1598"/>
      <c r="M935" s="1598"/>
      <c r="N935" s="1598"/>
      <c r="O935" s="1598"/>
      <c r="P935" s="1598"/>
      <c r="Q935" s="1598"/>
      <c r="R935" s="1598"/>
      <c r="S935" s="1598"/>
      <c r="T935" s="1599"/>
      <c r="U935" s="1435" t="s">
        <v>600</v>
      </c>
      <c r="V935" s="1436"/>
      <c r="W935" s="1436"/>
      <c r="X935" s="1436"/>
      <c r="Y935" s="1436"/>
      <c r="Z935" s="1437"/>
      <c r="AA935" s="1438"/>
      <c r="AB935" s="1439"/>
      <c r="AC935" s="1439"/>
      <c r="AD935" s="1439"/>
      <c r="AE935" s="1439"/>
      <c r="AF935" s="144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7" t="s">
        <v>2562</v>
      </c>
      <c r="G936" s="1598"/>
      <c r="H936" s="1598"/>
      <c r="I936" s="1598"/>
      <c r="J936" s="1598"/>
      <c r="K936" s="1598"/>
      <c r="L936" s="1598"/>
      <c r="M936" s="1598"/>
      <c r="N936" s="1598"/>
      <c r="O936" s="1598"/>
      <c r="P936" s="1598"/>
      <c r="Q936" s="1598"/>
      <c r="R936" s="1598"/>
      <c r="S936" s="1598"/>
      <c r="T936" s="1599"/>
      <c r="U936" s="1435" t="s">
        <v>600</v>
      </c>
      <c r="V936" s="1436"/>
      <c r="W936" s="1436"/>
      <c r="X936" s="1436"/>
      <c r="Y936" s="1436"/>
      <c r="Z936" s="1437"/>
      <c r="AA936" s="1438"/>
      <c r="AB936" s="1439"/>
      <c r="AC936" s="1439"/>
      <c r="AD936" s="1439"/>
      <c r="AE936" s="1439"/>
      <c r="AF936" s="144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90" t="s">
        <v>2558</v>
      </c>
      <c r="G937" s="1591"/>
      <c r="H937" s="1591"/>
      <c r="I937" s="1591"/>
      <c r="J937" s="1591"/>
      <c r="K937" s="1591"/>
      <c r="L937" s="1591"/>
      <c r="M937" s="1591"/>
      <c r="N937" s="1591"/>
      <c r="O937" s="1591"/>
      <c r="P937" s="1591"/>
      <c r="Q937" s="1591"/>
      <c r="R937" s="1591"/>
      <c r="S937" s="1591"/>
      <c r="T937" s="1592"/>
      <c r="U937" s="1435" t="s">
        <v>600</v>
      </c>
      <c r="V937" s="1436"/>
      <c r="W937" s="1436"/>
      <c r="X937" s="1436"/>
      <c r="Y937" s="1436"/>
      <c r="Z937" s="1437"/>
      <c r="AA937" s="1438"/>
      <c r="AB937" s="1439"/>
      <c r="AC937" s="1439"/>
      <c r="AD937" s="1439"/>
      <c r="AE937" s="1439"/>
      <c r="AF937" s="144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90" t="s">
        <v>2559</v>
      </c>
      <c r="G938" s="1591"/>
      <c r="H938" s="1591"/>
      <c r="I938" s="1591"/>
      <c r="J938" s="1591"/>
      <c r="K938" s="1591"/>
      <c r="L938" s="1591"/>
      <c r="M938" s="1591"/>
      <c r="N938" s="1591"/>
      <c r="O938" s="1591"/>
      <c r="P938" s="1591"/>
      <c r="Q938" s="1591"/>
      <c r="R938" s="1591"/>
      <c r="S938" s="1591"/>
      <c r="T938" s="1592"/>
      <c r="U938" s="1435" t="s">
        <v>600</v>
      </c>
      <c r="V938" s="1436"/>
      <c r="W938" s="1436"/>
      <c r="X938" s="1436"/>
      <c r="Y938" s="1436"/>
      <c r="Z938" s="1437"/>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90" t="s">
        <v>2560</v>
      </c>
      <c r="G939" s="1591"/>
      <c r="H939" s="1591"/>
      <c r="I939" s="1591"/>
      <c r="J939" s="1591"/>
      <c r="K939" s="1591"/>
      <c r="L939" s="1591"/>
      <c r="M939" s="1591"/>
      <c r="N939" s="1591"/>
      <c r="O939" s="1591"/>
      <c r="P939" s="1591"/>
      <c r="Q939" s="1591"/>
      <c r="R939" s="1591"/>
      <c r="S939" s="1591"/>
      <c r="T939" s="1592"/>
      <c r="U939" s="1435" t="s">
        <v>600</v>
      </c>
      <c r="V939" s="1436"/>
      <c r="W939" s="1436"/>
      <c r="X939" s="1436"/>
      <c r="Y939" s="1436"/>
      <c r="Z939" s="1437"/>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35" t="s">
        <v>600</v>
      </c>
      <c r="V940" s="1436"/>
      <c r="W940" s="1436"/>
      <c r="X940" s="1436"/>
      <c r="Y940" s="1436"/>
      <c r="Z940" s="1437"/>
      <c r="AA940" s="1438"/>
      <c r="AB940" s="1439"/>
      <c r="AC940" s="1439"/>
      <c r="AD940" s="1439"/>
      <c r="AE940" s="1439"/>
      <c r="AF940" s="144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7" t="s">
        <v>2563</v>
      </c>
      <c r="G941" s="1598"/>
      <c r="H941" s="1598"/>
      <c r="I941" s="1598"/>
      <c r="J941" s="1598"/>
      <c r="K941" s="1598"/>
      <c r="L941" s="1598"/>
      <c r="M941" s="1598"/>
      <c r="N941" s="1598"/>
      <c r="O941" s="1598"/>
      <c r="P941" s="1598"/>
      <c r="Q941" s="1598"/>
      <c r="R941" s="1598"/>
      <c r="S941" s="1598"/>
      <c r="T941" s="1599"/>
      <c r="U941" s="1435" t="s">
        <v>600</v>
      </c>
      <c r="V941" s="1436"/>
      <c r="W941" s="1436"/>
      <c r="X941" s="1436"/>
      <c r="Y941" s="1436"/>
      <c r="Z941" s="1437"/>
      <c r="AA941" s="1438"/>
      <c r="AB941" s="1439"/>
      <c r="AC941" s="1439"/>
      <c r="AD941" s="1439"/>
      <c r="AE941" s="1439"/>
      <c r="AF941" s="144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35" t="s">
        <v>600</v>
      </c>
      <c r="V942" s="1436"/>
      <c r="W942" s="1436"/>
      <c r="X942" s="1436"/>
      <c r="Y942" s="1436"/>
      <c r="Z942" s="1437"/>
      <c r="AA942" s="1438"/>
      <c r="AB942" s="1439"/>
      <c r="AC942" s="1439"/>
      <c r="AD942" s="1439"/>
      <c r="AE942" s="1439"/>
      <c r="AF942" s="144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7" t="s">
        <v>2564</v>
      </c>
      <c r="G943" s="1598"/>
      <c r="H943" s="1598"/>
      <c r="I943" s="1598"/>
      <c r="J943" s="1598"/>
      <c r="K943" s="1598"/>
      <c r="L943" s="1598"/>
      <c r="M943" s="1598"/>
      <c r="N943" s="1598"/>
      <c r="O943" s="1598"/>
      <c r="P943" s="1598"/>
      <c r="Q943" s="1598"/>
      <c r="R943" s="1598"/>
      <c r="S943" s="1598"/>
      <c r="T943" s="1599"/>
      <c r="U943" s="1435" t="s">
        <v>600</v>
      </c>
      <c r="V943" s="1436"/>
      <c r="W943" s="1436"/>
      <c r="X943" s="1436"/>
      <c r="Y943" s="1436"/>
      <c r="Z943" s="1437"/>
      <c r="AA943" s="1438"/>
      <c r="AB943" s="1439"/>
      <c r="AC943" s="1439"/>
      <c r="AD943" s="1439"/>
      <c r="AE943" s="1439"/>
      <c r="AF943" s="144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35" t="s">
        <v>678</v>
      </c>
      <c r="Q944" s="1436"/>
      <c r="R944" s="1436"/>
      <c r="S944" s="1436"/>
      <c r="T944" s="1437"/>
      <c r="U944" s="1435" t="s">
        <v>600</v>
      </c>
      <c r="V944" s="1436"/>
      <c r="W944" s="1436"/>
      <c r="X944" s="1436"/>
      <c r="Y944" s="1436"/>
      <c r="Z944" s="1437"/>
      <c r="AA944" s="1438"/>
      <c r="AB944" s="1439"/>
      <c r="AC944" s="1439"/>
      <c r="AD944" s="1439"/>
      <c r="AE944" s="1439"/>
      <c r="AF944" s="144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0" t="s">
        <v>2551</v>
      </c>
      <c r="G945" s="1591"/>
      <c r="H945" s="1592"/>
      <c r="I945" s="1575" t="s">
        <v>335</v>
      </c>
      <c r="J945" s="1576"/>
      <c r="K945" s="1576"/>
      <c r="L945" s="1576"/>
      <c r="M945" s="1576"/>
      <c r="N945" s="1576"/>
      <c r="O945" s="1576"/>
      <c r="P945" s="1576"/>
      <c r="Q945" s="1576"/>
      <c r="R945" s="1576"/>
      <c r="S945" s="1576"/>
      <c r="T945" s="1577"/>
      <c r="U945" s="1435" t="s">
        <v>600</v>
      </c>
      <c r="V945" s="1436"/>
      <c r="W945" s="1436"/>
      <c r="X945" s="1436"/>
      <c r="Y945" s="1436"/>
      <c r="Z945" s="1437"/>
      <c r="AA945" s="1438"/>
      <c r="AB945" s="1439"/>
      <c r="AC945" s="1439"/>
      <c r="AD945" s="1439"/>
      <c r="AE945" s="1439"/>
      <c r="AF945" s="144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75" t="s">
        <v>335</v>
      </c>
      <c r="J946" s="1576"/>
      <c r="K946" s="1576"/>
      <c r="L946" s="1576"/>
      <c r="M946" s="1576"/>
      <c r="N946" s="1576"/>
      <c r="O946" s="1576"/>
      <c r="P946" s="1576"/>
      <c r="Q946" s="1576"/>
      <c r="R946" s="1576"/>
      <c r="S946" s="1576"/>
      <c r="T946" s="1577"/>
      <c r="U946" s="1435" t="s">
        <v>600</v>
      </c>
      <c r="V946" s="1436"/>
      <c r="W946" s="1436"/>
      <c r="X946" s="1436"/>
      <c r="Y946" s="1436"/>
      <c r="Z946" s="1437"/>
      <c r="AA946" s="1438"/>
      <c r="AB946" s="1439"/>
      <c r="AC946" s="1439"/>
      <c r="AD946" s="1439"/>
      <c r="AE946" s="1439"/>
      <c r="AF946" s="144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6" t="s">
        <v>335</v>
      </c>
      <c r="J947" s="1547"/>
      <c r="K947" s="1547"/>
      <c r="L947" s="1547"/>
      <c r="M947" s="1547"/>
      <c r="N947" s="1547"/>
      <c r="O947" s="1547"/>
      <c r="P947" s="1547"/>
      <c r="Q947" s="1547"/>
      <c r="R947" s="1547"/>
      <c r="S947" s="1547"/>
      <c r="T947" s="1548"/>
      <c r="U947" s="1435" t="s">
        <v>600</v>
      </c>
      <c r="V947" s="1436"/>
      <c r="W947" s="1436"/>
      <c r="X947" s="1436"/>
      <c r="Y947" s="1436"/>
      <c r="Z947" s="1437"/>
      <c r="AA947" s="1438"/>
      <c r="AB947" s="1439"/>
      <c r="AC947" s="1439"/>
      <c r="AD947" s="1439"/>
      <c r="AE947" s="1439"/>
      <c r="AF947" s="144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6" t="s">
        <v>335</v>
      </c>
      <c r="J948" s="1547"/>
      <c r="K948" s="1547"/>
      <c r="L948" s="1547"/>
      <c r="M948" s="1547"/>
      <c r="N948" s="1547"/>
      <c r="O948" s="1547"/>
      <c r="P948" s="1547"/>
      <c r="Q948" s="1547"/>
      <c r="R948" s="1547"/>
      <c r="S948" s="1547"/>
      <c r="T948" s="1548"/>
      <c r="U948" s="1435" t="s">
        <v>600</v>
      </c>
      <c r="V948" s="1436"/>
      <c r="W948" s="1436"/>
      <c r="X948" s="1436"/>
      <c r="Y948" s="1436"/>
      <c r="Z948" s="1437"/>
      <c r="AA948" s="1438"/>
      <c r="AB948" s="1439"/>
      <c r="AC948" s="1439"/>
      <c r="AD948" s="1439"/>
      <c r="AE948" s="1439"/>
      <c r="AF948" s="144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6" t="s">
        <v>335</v>
      </c>
      <c r="J949" s="1547"/>
      <c r="K949" s="1547"/>
      <c r="L949" s="1547"/>
      <c r="M949" s="1547"/>
      <c r="N949" s="1547"/>
      <c r="O949" s="1547"/>
      <c r="P949" s="1547"/>
      <c r="Q949" s="1547"/>
      <c r="R949" s="1547"/>
      <c r="S949" s="1547"/>
      <c r="T949" s="1548"/>
      <c r="U949" s="1435" t="s">
        <v>600</v>
      </c>
      <c r="V949" s="1436"/>
      <c r="W949" s="1436"/>
      <c r="X949" s="1436"/>
      <c r="Y949" s="1436"/>
      <c r="Z949" s="1437"/>
      <c r="AA949" s="1438"/>
      <c r="AB949" s="1439"/>
      <c r="AC949" s="1439"/>
      <c r="AD949" s="1439"/>
      <c r="AE949" s="1439"/>
      <c r="AF949" s="144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7">
        <v>45400</v>
      </c>
      <c r="N954" s="1683"/>
      <c r="O954" s="1683"/>
      <c r="P954" s="1683"/>
      <c r="Q954" s="1683"/>
      <c r="R954" s="1683"/>
      <c r="S954" s="1728"/>
      <c r="U954" s="66" t="s">
        <v>11</v>
      </c>
      <c r="V954" s="5"/>
      <c r="W954" s="5"/>
      <c r="X954" s="5"/>
      <c r="Y954" s="5"/>
      <c r="Z954" s="5"/>
      <c r="AA954" s="5"/>
      <c r="AB954" s="5"/>
      <c r="AC954" s="5"/>
      <c r="AD954" s="46"/>
      <c r="AE954" s="1727"/>
      <c r="AF954" s="1683"/>
      <c r="AG954" s="1683"/>
      <c r="AH954" s="1683"/>
      <c r="AI954" s="1683"/>
      <c r="AJ954" s="1683"/>
      <c r="AK954" s="172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2" t="s">
        <v>2733</v>
      </c>
      <c r="N955" s="1553"/>
      <c r="O955" s="1553"/>
      <c r="P955" s="1553"/>
      <c r="Q955" s="1553"/>
      <c r="R955" s="1553"/>
      <c r="S955" s="1554"/>
      <c r="U955" s="66" t="s">
        <v>12</v>
      </c>
      <c r="V955" s="5"/>
      <c r="W955" s="5"/>
      <c r="X955" s="5"/>
      <c r="Y955" s="5"/>
      <c r="Z955" s="5"/>
      <c r="AA955" s="5"/>
      <c r="AB955" s="5"/>
      <c r="AC955" s="5"/>
      <c r="AD955" s="46"/>
      <c r="AE955" s="1552"/>
      <c r="AF955" s="1553"/>
      <c r="AG955" s="1553"/>
      <c r="AH955" s="1553"/>
      <c r="AI955" s="1553"/>
      <c r="AJ955" s="1553"/>
      <c r="AK955" s="155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55" t="s">
        <v>2737</v>
      </c>
      <c r="K956" s="1556"/>
      <c r="L956" s="1556"/>
      <c r="M956" s="1556"/>
      <c r="N956" s="1556"/>
      <c r="O956" s="1556"/>
      <c r="P956" s="1556"/>
      <c r="Q956" s="1556"/>
      <c r="R956" s="1556"/>
      <c r="S956" s="1557"/>
      <c r="U956" s="66" t="s">
        <v>893</v>
      </c>
      <c r="V956" s="5"/>
      <c r="W956" s="5"/>
      <c r="AB956" s="1555" t="s">
        <v>308</v>
      </c>
      <c r="AC956" s="1556"/>
      <c r="AD956" s="1556"/>
      <c r="AE956" s="1556"/>
      <c r="AF956" s="1556"/>
      <c r="AG956" s="1556"/>
      <c r="AH956" s="1556"/>
      <c r="AI956" s="1556"/>
      <c r="AJ956" s="1556"/>
      <c r="AK956" s="155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3">
        <v>0.4</v>
      </c>
      <c r="N957" s="1724"/>
      <c r="O957" s="1724"/>
      <c r="P957" s="1724"/>
      <c r="Q957" s="1724"/>
      <c r="R957" s="1724"/>
      <c r="S957" s="1725"/>
      <c r="U957" s="66" t="s">
        <v>13</v>
      </c>
      <c r="V957" s="5"/>
      <c r="W957" s="5"/>
      <c r="X957" s="5"/>
      <c r="Y957" s="5"/>
      <c r="Z957" s="5"/>
      <c r="AA957" s="5"/>
      <c r="AB957" s="5"/>
      <c r="AC957" s="5"/>
      <c r="AD957" s="46"/>
      <c r="AE957" s="1726"/>
      <c r="AF957" s="1724"/>
      <c r="AG957" s="1724"/>
      <c r="AH957" s="1724"/>
      <c r="AI957" s="1724"/>
      <c r="AJ957" s="1724"/>
      <c r="AK957" s="172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6">
        <v>68</v>
      </c>
      <c r="N958" s="1387"/>
      <c r="O958" s="1387"/>
      <c r="P958" s="1387"/>
      <c r="Q958" s="1387"/>
      <c r="R958" s="1387"/>
      <c r="S958" s="1388"/>
      <c r="U958" s="66" t="s">
        <v>14</v>
      </c>
      <c r="V958" s="5"/>
      <c r="W958" s="5"/>
      <c r="X958" s="5"/>
      <c r="Y958" s="5"/>
      <c r="Z958" s="5"/>
      <c r="AA958" s="5"/>
      <c r="AB958" s="5"/>
      <c r="AC958" s="5"/>
      <c r="AD958" s="46"/>
      <c r="AE958" s="1386"/>
      <c r="AF958" s="1387"/>
      <c r="AG958" s="1387"/>
      <c r="AH958" s="1387"/>
      <c r="AI958" s="1387"/>
      <c r="AJ958" s="1387"/>
      <c r="AK958" s="138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8">
        <f>328128+559680+755040+306432</f>
        <v>1949280</v>
      </c>
      <c r="N959" s="1439"/>
      <c r="O959" s="1439"/>
      <c r="P959" s="1439"/>
      <c r="Q959" s="1439"/>
      <c r="R959" s="1439"/>
      <c r="S959" s="1440"/>
      <c r="U959" s="66" t="s">
        <v>15</v>
      </c>
      <c r="V959" s="5"/>
      <c r="W959" s="5"/>
      <c r="X959" s="5"/>
      <c r="Y959" s="5"/>
      <c r="Z959" s="5"/>
      <c r="AA959" s="5"/>
      <c r="AB959" s="5"/>
      <c r="AC959" s="5"/>
      <c r="AD959" s="46"/>
      <c r="AE959" s="1438"/>
      <c r="AF959" s="1439"/>
      <c r="AG959" s="1439"/>
      <c r="AH959" s="1439"/>
      <c r="AI959" s="1439"/>
      <c r="AJ959" s="1439"/>
      <c r="AK959" s="144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8">
        <f>M959*M961</f>
        <v>38985600</v>
      </c>
      <c r="N960" s="1439"/>
      <c r="O960" s="1439"/>
      <c r="P960" s="1439"/>
      <c r="Q960" s="1439"/>
      <c r="R960" s="1439"/>
      <c r="S960" s="1440"/>
      <c r="U960" s="66" t="s">
        <v>16</v>
      </c>
      <c r="V960" s="5"/>
      <c r="W960" s="5"/>
      <c r="X960" s="5"/>
      <c r="Y960" s="5"/>
      <c r="Z960" s="5"/>
      <c r="AA960" s="5"/>
      <c r="AB960" s="5"/>
      <c r="AC960" s="5"/>
      <c r="AD960" s="46"/>
      <c r="AE960" s="1438"/>
      <c r="AF960" s="1439"/>
      <c r="AG960" s="1439"/>
      <c r="AH960" s="1439"/>
      <c r="AI960" s="1439"/>
      <c r="AJ960" s="1439"/>
      <c r="AK960" s="144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30">
        <v>20</v>
      </c>
      <c r="N961" s="1431"/>
      <c r="O961" s="1431"/>
      <c r="P961" s="1431"/>
      <c r="Q961" s="1431"/>
      <c r="R961" s="1431"/>
      <c r="S961" s="1432"/>
      <c r="U961" s="121" t="s">
        <v>1776</v>
      </c>
      <c r="V961" s="5"/>
      <c r="W961" s="5"/>
      <c r="X961" s="5"/>
      <c r="Y961" s="5"/>
      <c r="Z961" s="5"/>
      <c r="AA961" s="5"/>
      <c r="AB961" s="5"/>
      <c r="AC961" s="5"/>
      <c r="AD961" s="46"/>
      <c r="AE961" s="1430"/>
      <c r="AF961" s="1431"/>
      <c r="AG961" s="1431"/>
      <c r="AH961" s="1431"/>
      <c r="AI961" s="1431"/>
      <c r="AJ961" s="1431"/>
      <c r="AK961" s="143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40"/>
      <c r="N966" s="1541"/>
      <c r="O966" s="1541"/>
      <c r="P966" s="1541"/>
      <c r="Q966" s="1541"/>
      <c r="R966" s="1541"/>
      <c r="S966" s="1542"/>
      <c r="T966" s="66" t="s">
        <v>800</v>
      </c>
      <c r="U966" s="5"/>
      <c r="V966" s="5"/>
      <c r="W966" s="5"/>
      <c r="X966" s="5"/>
      <c r="Y966" s="5"/>
      <c r="Z966" s="46"/>
      <c r="AA966" s="1540"/>
      <c r="AB966" s="1541"/>
      <c r="AC966" s="1541"/>
      <c r="AD966" s="1541"/>
      <c r="AE966" s="1541"/>
      <c r="AF966" s="1541"/>
      <c r="AG966" s="15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40"/>
      <c r="N967" s="1541"/>
      <c r="O967" s="1541"/>
      <c r="P967" s="1541"/>
      <c r="Q967" s="1541"/>
      <c r="R967" s="1541"/>
      <c r="S967" s="1542"/>
      <c r="T967" s="66" t="s">
        <v>799</v>
      </c>
      <c r="U967" s="5"/>
      <c r="V967" s="5"/>
      <c r="W967" s="5"/>
      <c r="X967" s="5"/>
      <c r="Y967" s="5"/>
      <c r="Z967" s="46"/>
      <c r="AA967" s="1540"/>
      <c r="AB967" s="1541"/>
      <c r="AC967" s="1541"/>
      <c r="AD967" s="1541"/>
      <c r="AE967" s="1541"/>
      <c r="AF967" s="1541"/>
      <c r="AG967" s="15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7" t="s">
        <v>600</v>
      </c>
      <c r="N968" s="1668"/>
      <c r="O968" s="1668"/>
      <c r="P968" s="1668"/>
      <c r="Q968" s="1668"/>
      <c r="R968" s="1668"/>
      <c r="S968" s="1669"/>
      <c r="T968" s="45" t="s">
        <v>338</v>
      </c>
      <c r="U968" s="5"/>
      <c r="V968" s="5"/>
      <c r="W968" s="5"/>
      <c r="X968" s="5"/>
      <c r="Y968" s="5"/>
      <c r="Z968" s="46"/>
      <c r="AA968" s="1540"/>
      <c r="AB968" s="1541"/>
      <c r="AC968" s="1541"/>
      <c r="AD968" s="1541"/>
      <c r="AE968" s="1541"/>
      <c r="AF968" s="1541"/>
      <c r="AG968" s="15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40"/>
      <c r="N969" s="1541"/>
      <c r="O969" s="1541"/>
      <c r="P969" s="1541"/>
      <c r="Q969" s="1541"/>
      <c r="R969" s="1541"/>
      <c r="S969" s="1542"/>
      <c r="T969" s="45" t="s">
        <v>339</v>
      </c>
      <c r="U969" s="5"/>
      <c r="V969" s="5"/>
      <c r="W969" s="5"/>
      <c r="X969" s="5"/>
      <c r="Y969" s="5"/>
      <c r="Z969" s="46"/>
      <c r="AA969" s="1540"/>
      <c r="AB969" s="1541"/>
      <c r="AC969" s="1541"/>
      <c r="AD969" s="1541"/>
      <c r="AE969" s="1541"/>
      <c r="AF969" s="1541"/>
      <c r="AG969" s="15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40"/>
      <c r="N970" s="1541"/>
      <c r="O970" s="1541"/>
      <c r="P970" s="1541"/>
      <c r="Q970" s="1541"/>
      <c r="R970" s="1541"/>
      <c r="S970" s="1542"/>
      <c r="T970" s="45" t="s">
        <v>377</v>
      </c>
      <c r="U970" s="5"/>
      <c r="V970" s="5"/>
      <c r="W970" s="5"/>
      <c r="X970" s="5"/>
      <c r="Y970" s="5"/>
      <c r="Z970" s="46"/>
      <c r="AA970" s="1540"/>
      <c r="AB970" s="1541"/>
      <c r="AC970" s="1541"/>
      <c r="AD970" s="1541"/>
      <c r="AE970" s="1541"/>
      <c r="AF970" s="1541"/>
      <c r="AG970" s="15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61" t="s">
        <v>308</v>
      </c>
      <c r="N971" s="1662"/>
      <c r="O971" s="1662"/>
      <c r="P971" s="1662"/>
      <c r="Q971" s="1662"/>
      <c r="R971" s="1662"/>
      <c r="S971" s="1663"/>
      <c r="T971" s="1572"/>
      <c r="U971" s="1573"/>
      <c r="V971" s="1573"/>
      <c r="W971" s="1573"/>
      <c r="X971" s="1573"/>
      <c r="Y971" s="1573"/>
      <c r="Z971" s="1574"/>
      <c r="AA971" s="1540"/>
      <c r="AB971" s="1541"/>
      <c r="AC971" s="1541"/>
      <c r="AD971" s="1541"/>
      <c r="AE971" s="1541"/>
      <c r="AF971" s="1541"/>
      <c r="AG971" s="15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40"/>
      <c r="N972" s="1541"/>
      <c r="O972" s="1541"/>
      <c r="P972" s="1541"/>
      <c r="Q972" s="1541"/>
      <c r="R972" s="1541"/>
      <c r="S972" s="1542"/>
      <c r="T972" s="1572"/>
      <c r="U972" s="1573"/>
      <c r="V972" s="1573"/>
      <c r="W972" s="1573"/>
      <c r="X972" s="1573"/>
      <c r="Y972" s="1573"/>
      <c r="Z972" s="1574"/>
      <c r="AA972" s="1540"/>
      <c r="AB972" s="1541"/>
      <c r="AC972" s="1541"/>
      <c r="AD972" s="1541"/>
      <c r="AE972" s="1541"/>
      <c r="AF972" s="1541"/>
      <c r="AG972" s="15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0" t="s">
        <v>678</v>
      </c>
      <c r="P973" s="1701"/>
      <c r="Q973" s="92"/>
      <c r="R973" s="92"/>
      <c r="S973" s="93"/>
      <c r="T973" s="41" t="s">
        <v>170</v>
      </c>
      <c r="U973" s="42"/>
      <c r="V973" s="42"/>
      <c r="W973" s="1658" t="s">
        <v>335</v>
      </c>
      <c r="X973" s="1659"/>
      <c r="Y973" s="1659"/>
      <c r="Z973" s="1659"/>
      <c r="AA973" s="1659"/>
      <c r="AB973" s="1659"/>
      <c r="AC973" s="1659"/>
      <c r="AD973" s="1659"/>
      <c r="AE973" s="1659"/>
      <c r="AF973" s="1659"/>
      <c r="AG973" s="166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9" t="s">
        <v>33</v>
      </c>
      <c r="G974" s="1451"/>
      <c r="H974" s="1451"/>
      <c r="I974" s="1451"/>
      <c r="J974" s="1451"/>
      <c r="K974" s="1451"/>
      <c r="L974" s="1451"/>
      <c r="M974" s="1540"/>
      <c r="N974" s="1541"/>
      <c r="O974" s="1541"/>
      <c r="P974" s="1541"/>
      <c r="Q974" s="1541"/>
      <c r="R974" s="1541"/>
      <c r="S974" s="1542"/>
      <c r="T974" s="47"/>
      <c r="U974" s="48"/>
      <c r="V974" s="48"/>
      <c r="W974" s="48"/>
      <c r="X974" s="48"/>
      <c r="Y974" s="48"/>
      <c r="Z974" s="124" t="s">
        <v>134</v>
      </c>
      <c r="AA974" s="1732"/>
      <c r="AB974" s="1733"/>
      <c r="AC974" s="1733"/>
      <c r="AD974" s="1733"/>
      <c r="AE974" s="1733"/>
      <c r="AF974" s="1733"/>
      <c r="AG974" s="173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6"/>
      <c r="BH975" s="1666"/>
      <c r="BI975" s="1666"/>
      <c r="BJ975" s="1666"/>
      <c r="BK975" s="1666"/>
      <c r="BL975" s="166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6" t="s">
        <v>557</v>
      </c>
      <c r="B978" s="1466"/>
      <c r="C978" s="1466"/>
      <c r="D978" s="1466"/>
      <c r="E978" s="1466"/>
      <c r="F978" s="1466"/>
      <c r="G978" s="1466"/>
      <c r="H978" s="1466"/>
      <c r="I978" s="1466"/>
      <c r="J978" s="1466"/>
      <c r="K978" s="1466"/>
      <c r="L978" s="1466"/>
      <c r="M978" s="1466"/>
      <c r="N978" s="1466"/>
      <c r="O978" s="1466"/>
      <c r="P978" s="1466"/>
      <c r="Q978" s="1466"/>
      <c r="R978" s="1466"/>
      <c r="S978" s="1466"/>
      <c r="T978" s="1466"/>
      <c r="U978" s="1466"/>
      <c r="V978" s="1466"/>
      <c r="W978" s="1466"/>
      <c r="X978" s="1466"/>
      <c r="Y978" s="1466"/>
      <c r="Z978" s="1466"/>
      <c r="AA978" s="1466"/>
      <c r="AB978" s="1466"/>
      <c r="AC978" s="1466"/>
      <c r="AD978" s="1466"/>
      <c r="AE978" s="1466"/>
      <c r="AF978" s="1466"/>
      <c r="AG978" s="1466"/>
      <c r="AH978" s="1466"/>
      <c r="AI978" s="1466"/>
      <c r="AJ978" s="1466"/>
      <c r="AK978" s="1466"/>
      <c r="AL978" s="1466"/>
      <c r="AM978" s="1466"/>
      <c r="AN978" s="1466"/>
      <c r="AO978" s="1466"/>
      <c r="AP978" s="1466"/>
      <c r="AQ978" s="1466"/>
      <c r="AR978" s="1466"/>
      <c r="AS978" s="1466"/>
      <c r="AT978" s="146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6"/>
      <c r="B979" s="1466"/>
      <c r="C979" s="1466"/>
      <c r="D979" s="1466"/>
      <c r="E979" s="1466"/>
      <c r="F979" s="1466"/>
      <c r="G979" s="1466"/>
      <c r="H979" s="1466"/>
      <c r="I979" s="1466"/>
      <c r="J979" s="1466"/>
      <c r="K979" s="1466"/>
      <c r="L979" s="1466"/>
      <c r="M979" s="1466"/>
      <c r="N979" s="1466"/>
      <c r="O979" s="1466"/>
      <c r="P979" s="1466"/>
      <c r="Q979" s="1466"/>
      <c r="R979" s="1466"/>
      <c r="S979" s="1466"/>
      <c r="T979" s="1466"/>
      <c r="U979" s="1466"/>
      <c r="V979" s="1466"/>
      <c r="W979" s="1466"/>
      <c r="X979" s="1466"/>
      <c r="Y979" s="1466"/>
      <c r="Z979" s="1466"/>
      <c r="AA979" s="1466"/>
      <c r="AB979" s="1466"/>
      <c r="AC979" s="1466"/>
      <c r="AD979" s="1466"/>
      <c r="AE979" s="1466"/>
      <c r="AF979" s="1466"/>
      <c r="AG979" s="1466"/>
      <c r="AH979" s="1466"/>
      <c r="AI979" s="1466"/>
      <c r="AJ979" s="1466"/>
      <c r="AK979" s="1466"/>
      <c r="AL979" s="1466"/>
      <c r="AM979" s="1466"/>
      <c r="AN979" s="1466"/>
      <c r="AO979" s="1466"/>
      <c r="AP979" s="1466"/>
      <c r="AQ979" s="1466"/>
      <c r="AR979" s="1466"/>
      <c r="AS979" s="1466"/>
      <c r="AT979" s="146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6"/>
      <c r="B980" s="1466"/>
      <c r="C980" s="1466"/>
      <c r="D980" s="1466"/>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6"/>
      <c r="AF980" s="1466"/>
      <c r="AG980" s="1466"/>
      <c r="AH980" s="1466"/>
      <c r="AI980" s="1466"/>
      <c r="AJ980" s="1466"/>
      <c r="AK980" s="1466"/>
      <c r="AL980" s="1466"/>
      <c r="AM980" s="1466"/>
      <c r="AN980" s="1466"/>
      <c r="AO980" s="1466"/>
      <c r="AP980" s="1466"/>
      <c r="AQ980" s="1466"/>
      <c r="AR980" s="1466"/>
      <c r="AS980" s="1466"/>
      <c r="AT980" s="146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9" t="s">
        <v>647</v>
      </c>
      <c r="E984" s="1550"/>
      <c r="F984" s="1550"/>
      <c r="G984" s="1550"/>
      <c r="H984" s="1550"/>
      <c r="I984" s="1550"/>
      <c r="J984" s="1550"/>
      <c r="K984" s="1550"/>
      <c r="L984" s="1550"/>
      <c r="M984" s="1550"/>
      <c r="N984" s="1550"/>
      <c r="O984" s="1550"/>
      <c r="P984" s="1550"/>
      <c r="Q984" s="1551"/>
      <c r="R984" s="1549" t="s">
        <v>648</v>
      </c>
      <c r="S984" s="1550"/>
      <c r="T984" s="1550"/>
      <c r="U984" s="1550"/>
      <c r="V984" s="1550"/>
      <c r="W984" s="1550"/>
      <c r="X984" s="1550"/>
      <c r="Y984" s="1550"/>
      <c r="Z984" s="1550"/>
      <c r="AA984" s="1551"/>
      <c r="AB984" s="1549" t="s">
        <v>649</v>
      </c>
      <c r="AC984" s="1550"/>
      <c r="AD984" s="1550"/>
      <c r="AE984" s="1550"/>
      <c r="AF984" s="1550"/>
      <c r="AG984" s="1550"/>
      <c r="AH984" s="1550"/>
      <c r="AI984" s="1551"/>
      <c r="AJ984" s="1549" t="s">
        <v>650</v>
      </c>
      <c r="AK984" s="1550"/>
      <c r="AL984" s="1550"/>
      <c r="AM984" s="1550"/>
      <c r="AN984" s="1550"/>
      <c r="AO984" s="1550"/>
      <c r="AP984" s="1550"/>
      <c r="AQ984" s="155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4" t="s">
        <v>642</v>
      </c>
      <c r="E985" s="1425"/>
      <c r="F985" s="1425"/>
      <c r="G985" s="1425"/>
      <c r="H985" s="1425"/>
      <c r="I985" s="1425"/>
      <c r="J985" s="1425"/>
      <c r="K985" s="1425"/>
      <c r="L985" s="1425"/>
      <c r="M985" s="1425"/>
      <c r="N985" s="1425"/>
      <c r="O985" s="1425"/>
      <c r="P985" s="1425"/>
      <c r="Q985" s="1426"/>
      <c r="R985" s="1596">
        <f>IF(ISNA(IF($BN$796="4%",(INDEX($BP$806:$BT$863,MATCH($CB$796,$BO$806:$BO$863,0),MATCH(D985,$BP$805:$BT$805,0))),(INDEX($BW$806:$CA$863,MATCH($CB$796,$BV$806:$BV$863,0),MATCH(D985,$BW$805:$CA$805,0))))),0,IF($BN$796="4%",(INDEX($BP$806:$BT$863,MATCH($CB$796,$BO$806:$BO$863,0),MATCH(D985,$BP$805:$BT$805,0))),(INDEX($BW$806:$CA$863,MATCH($CB$796,$BV$806:$BV$863,0),MATCH(D985,$BW$805:$CA$805,0)))))</f>
        <v>314634</v>
      </c>
      <c r="S985" s="1596"/>
      <c r="T985" s="1596"/>
      <c r="U985" s="1596"/>
      <c r="V985" s="1596"/>
      <c r="W985" s="1596"/>
      <c r="X985" s="1596"/>
      <c r="Y985" s="1596"/>
      <c r="Z985" s="1596"/>
      <c r="AA985" s="1596"/>
      <c r="AB985" s="1427">
        <f>BN660</f>
        <v>0</v>
      </c>
      <c r="AC985" s="1428"/>
      <c r="AD985" s="1428"/>
      <c r="AE985" s="1428"/>
      <c r="AF985" s="1428"/>
      <c r="AG985" s="1428"/>
      <c r="AH985" s="1428"/>
      <c r="AI985" s="1429"/>
      <c r="AJ985" s="1514">
        <f>IF(ISERROR((R985*AB985)),0,(R985*AB985))</f>
        <v>0</v>
      </c>
      <c r="AK985" s="1515"/>
      <c r="AL985" s="1515"/>
      <c r="AM985" s="1515"/>
      <c r="AN985" s="1515"/>
      <c r="AO985" s="1515"/>
      <c r="AP985" s="1515"/>
      <c r="AQ985" s="151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4" t="s">
        <v>326</v>
      </c>
      <c r="E986" s="1425"/>
      <c r="F986" s="1425"/>
      <c r="G986" s="1425"/>
      <c r="H986" s="1425"/>
      <c r="I986" s="1425"/>
      <c r="J986" s="1425"/>
      <c r="K986" s="1425"/>
      <c r="L986" s="1425"/>
      <c r="M986" s="1425"/>
      <c r="N986" s="1425"/>
      <c r="O986" s="1425"/>
      <c r="P986" s="1425"/>
      <c r="Q986" s="1426"/>
      <c r="R986" s="1596">
        <f>IF(ISNA(IF($BN$796="4%",(INDEX($BP$806:$BT$863,MATCH($CB$796,$BO$806:$BO$863,0),MATCH(D986,$BP$805:$BT$805,0))),(INDEX($BW$806:$CA$863,MATCH($CB$796,$BV$806:$BV$863,0),MATCH(D986,$BW$805:$CA$805,0))))),0,IF($BN$796="4%",(INDEX($BP$806:$BT$863,MATCH($CB$796,$BO$806:$BO$863,0),MATCH(D986,$BP$805:$BT$805,0))),(INDEX($BW$806:$CA$863,MATCH($CB$796,$BV$806:$BV$863,0),MATCH(D986,$BW$805:$CA$805,0)))))</f>
        <v>362770</v>
      </c>
      <c r="S986" s="1596"/>
      <c r="T986" s="1596"/>
      <c r="U986" s="1596"/>
      <c r="V986" s="1596"/>
      <c r="W986" s="1596"/>
      <c r="X986" s="1596"/>
      <c r="Y986" s="1596"/>
      <c r="Z986" s="1596"/>
      <c r="AA986" s="1596"/>
      <c r="AB986" s="1427">
        <f>BS660</f>
        <v>78</v>
      </c>
      <c r="AC986" s="1428"/>
      <c r="AD986" s="1428"/>
      <c r="AE986" s="1428"/>
      <c r="AF986" s="1428"/>
      <c r="AG986" s="1428"/>
      <c r="AH986" s="1428"/>
      <c r="AI986" s="1429"/>
      <c r="AJ986" s="1514">
        <f>IF(ISERROR((R986*AB986)),0,(R986*AB986))</f>
        <v>28296060</v>
      </c>
      <c r="AK986" s="1515"/>
      <c r="AL986" s="1515"/>
      <c r="AM986" s="1515"/>
      <c r="AN986" s="1515"/>
      <c r="AO986" s="1515"/>
      <c r="AP986" s="1515"/>
      <c r="AQ986" s="151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4" t="s">
        <v>163</v>
      </c>
      <c r="E987" s="1425"/>
      <c r="F987" s="1425"/>
      <c r="G987" s="1425"/>
      <c r="H987" s="1425"/>
      <c r="I987" s="1425"/>
      <c r="J987" s="1425"/>
      <c r="K987" s="1425"/>
      <c r="L987" s="1425"/>
      <c r="M987" s="1425"/>
      <c r="N987" s="1425"/>
      <c r="O987" s="1425"/>
      <c r="P987" s="1425"/>
      <c r="Q987" s="1426"/>
      <c r="R987" s="1596">
        <f>IF(ISNA(IF($BN$796="4%",(INDEX($BP$806:$BT$863,MATCH($CB$796,$BO$806:$BO$863,0),MATCH(D987,$BP$805:$BT$805,0))),(INDEX($BW$806:$CA$863,MATCH($CB$796,$BV$806:$BV$863,0),MATCH(D987,$BW$805:$CA$805,0))))),0,IF($BN$796="4%",(INDEX($BP$806:$BT$863,MATCH($CB$796,$BO$806:$BO$863,0),MATCH(D987,$BP$805:$BT$805,0))),(INDEX($BW$806:$CA$863,MATCH($CB$796,$BV$806:$BV$863,0),MATCH(D987,$BW$805:$CA$805,0)))))</f>
        <v>437600</v>
      </c>
      <c r="S987" s="1596"/>
      <c r="T987" s="1596"/>
      <c r="U987" s="1596"/>
      <c r="V987" s="1596"/>
      <c r="W987" s="1596"/>
      <c r="X987" s="1596"/>
      <c r="Y987" s="1596"/>
      <c r="Z987" s="1596"/>
      <c r="AA987" s="1596"/>
      <c r="AB987" s="1427">
        <f>BX660</f>
        <v>48</v>
      </c>
      <c r="AC987" s="1428"/>
      <c r="AD987" s="1428"/>
      <c r="AE987" s="1428"/>
      <c r="AF987" s="1428"/>
      <c r="AG987" s="1428"/>
      <c r="AH987" s="1428"/>
      <c r="AI987" s="1429"/>
      <c r="AJ987" s="1514">
        <f>IF(ISERROR((R987*AB987)),0,(R987*AB987))</f>
        <v>21004800</v>
      </c>
      <c r="AK987" s="1515"/>
      <c r="AL987" s="1515"/>
      <c r="AM987" s="1515"/>
      <c r="AN987" s="1515"/>
      <c r="AO987" s="1515"/>
      <c r="AP987" s="1515"/>
      <c r="AQ987" s="151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4" t="s">
        <v>164</v>
      </c>
      <c r="E988" s="1425"/>
      <c r="F988" s="1425"/>
      <c r="G988" s="1425"/>
      <c r="H988" s="1425"/>
      <c r="I988" s="1425"/>
      <c r="J988" s="1425"/>
      <c r="K988" s="1425"/>
      <c r="L988" s="1425"/>
      <c r="M988" s="1425"/>
      <c r="N988" s="1425"/>
      <c r="O988" s="1425"/>
      <c r="P988" s="1425"/>
      <c r="Q988" s="1426"/>
      <c r="R988" s="1596">
        <f>IF(ISNA(IF($BN$796="4%",(INDEX($BP$806:$BT$863,MATCH($CB$796,$BO$806:$BO$863,0),MATCH(D988,$BP$805:$BT$805,0))),(INDEX($BW$806:$CA$863,MATCH($CB$796,$BV$806:$BV$863,0),MATCH(D988,$BW$805:$CA$805,0))))),0,IF($BN$796="4%",(INDEX($BP$806:$BT$863,MATCH($CB$796,$BO$806:$BO$863,0),MATCH(D988,$BP$805:$BT$805,0))),(INDEX($BW$806:$CA$863,MATCH($CB$796,$BV$806:$BV$863,0),MATCH(D988,$BW$805:$CA$805,0)))))</f>
        <v>560128</v>
      </c>
      <c r="S988" s="1596"/>
      <c r="T988" s="1596"/>
      <c r="U988" s="1596"/>
      <c r="V988" s="1596"/>
      <c r="W988" s="1596"/>
      <c r="X988" s="1596"/>
      <c r="Y988" s="1596"/>
      <c r="Z988" s="1596"/>
      <c r="AA988" s="1596"/>
      <c r="AB988" s="1427">
        <f>CC660</f>
        <v>38</v>
      </c>
      <c r="AC988" s="1428"/>
      <c r="AD988" s="1428"/>
      <c r="AE988" s="1428"/>
      <c r="AF988" s="1428"/>
      <c r="AG988" s="1428"/>
      <c r="AH988" s="1428"/>
      <c r="AI988" s="1429"/>
      <c r="AJ988" s="1514">
        <f>IF(ISERROR((R988*AB988)),0,(R988*AB988))</f>
        <v>21284864</v>
      </c>
      <c r="AK988" s="1515"/>
      <c r="AL988" s="1515"/>
      <c r="AM988" s="1515"/>
      <c r="AN988" s="1515"/>
      <c r="AO988" s="1515"/>
      <c r="AP988" s="1515"/>
      <c r="AQ988" s="151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4" t="s">
        <v>469</v>
      </c>
      <c r="E989" s="1425"/>
      <c r="F989" s="1425"/>
      <c r="G989" s="1425"/>
      <c r="H989" s="1425"/>
      <c r="I989" s="1425"/>
      <c r="J989" s="1425"/>
      <c r="K989" s="1425"/>
      <c r="L989" s="1425"/>
      <c r="M989" s="1425"/>
      <c r="N989" s="1425"/>
      <c r="O989" s="1425"/>
      <c r="P989" s="1425"/>
      <c r="Q989" s="1426"/>
      <c r="R989" s="1596">
        <f>IF(ISNA(IF($BN$796="4%",(INDEX($BP$806:$BT$863,MATCH($CB$796,$BO$806:$BO$863,0),MATCH(D989,$BP$805:$BT$805,0))),(INDEX($BW$806:$CA$863,MATCH($CB$796,$BV$806:$BV$863,0),MATCH(D989,$BW$805:$CA$805,0))))),0,IF($BN$796="4%",(INDEX($BP$806:$BT$863,MATCH($CB$796,$BO$806:$BO$863,0),MATCH(D989,$BP$805:$BT$805,0))),(INDEX($BW$806:$CA$863,MATCH($CB$796,$BV$806:$BV$863,0),MATCH(D989,$BW$805:$CA$805,0)))))</f>
        <v>624018</v>
      </c>
      <c r="S989" s="1596"/>
      <c r="T989" s="1596"/>
      <c r="U989" s="1596"/>
      <c r="V989" s="1596"/>
      <c r="W989" s="1596"/>
      <c r="X989" s="1596"/>
      <c r="Y989" s="1596"/>
      <c r="Z989" s="1596"/>
      <c r="AA989" s="1596"/>
      <c r="AB989" s="1427">
        <f>CM660+CH660</f>
        <v>8</v>
      </c>
      <c r="AC989" s="1428"/>
      <c r="AD989" s="1428"/>
      <c r="AE989" s="1428"/>
      <c r="AF989" s="1428"/>
      <c r="AG989" s="1428"/>
      <c r="AH989" s="1428"/>
      <c r="AI989" s="1429"/>
      <c r="AJ989" s="1514">
        <f>IF(ISERROR((R989*AB989)),0,(R989*AB989))</f>
        <v>4992144</v>
      </c>
      <c r="AK989" s="1515"/>
      <c r="AL989" s="1515"/>
      <c r="AM989" s="1515"/>
      <c r="AN989" s="1515"/>
      <c r="AO989" s="1515"/>
      <c r="AP989" s="1515"/>
      <c r="AQ989" s="151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7" t="s">
        <v>801</v>
      </c>
      <c r="C990" s="1618"/>
      <c r="D990" s="1618"/>
      <c r="E990" s="1618"/>
      <c r="F990" s="1618"/>
      <c r="G990" s="1618"/>
      <c r="H990" s="1618"/>
      <c r="I990" s="1618"/>
      <c r="J990" s="1618"/>
      <c r="K990" s="1618"/>
      <c r="L990" s="1618"/>
      <c r="M990" s="1618"/>
      <c r="N990" s="1618"/>
      <c r="O990" s="1618"/>
      <c r="P990" s="1618"/>
      <c r="Q990" s="1618"/>
      <c r="R990" s="1618"/>
      <c r="S990" s="1618"/>
      <c r="T990" s="1618"/>
      <c r="U990" s="1618"/>
      <c r="V990" s="1618"/>
      <c r="W990" s="1618"/>
      <c r="X990" s="1618"/>
      <c r="Y990" s="1618"/>
      <c r="Z990" s="1618"/>
      <c r="AA990" s="1619"/>
      <c r="AB990" s="1427">
        <f>SUM(AB985:AI989)</f>
        <v>172</v>
      </c>
      <c r="AC990" s="1428"/>
      <c r="AD990" s="1428"/>
      <c r="AE990" s="1428"/>
      <c r="AF990" s="1428"/>
      <c r="AG990" s="1428"/>
      <c r="AH990" s="1428"/>
      <c r="AI990" s="1429"/>
      <c r="AJ990" s="1514"/>
      <c r="AK990" s="1515"/>
      <c r="AL990" s="1515"/>
      <c r="AM990" s="1515"/>
      <c r="AN990" s="1515"/>
      <c r="AO990" s="1515"/>
      <c r="AP990" s="1515"/>
      <c r="AQ990" s="151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3" t="s">
        <v>521</v>
      </c>
      <c r="C991" s="1594"/>
      <c r="D991" s="1594"/>
      <c r="E991" s="1594"/>
      <c r="F991" s="1594"/>
      <c r="G991" s="1594"/>
      <c r="H991" s="1594"/>
      <c r="I991" s="1594"/>
      <c r="J991" s="1594"/>
      <c r="K991" s="1594"/>
      <c r="L991" s="1594"/>
      <c r="M991" s="1594"/>
      <c r="N991" s="1594"/>
      <c r="O991" s="1594"/>
      <c r="P991" s="1594"/>
      <c r="Q991" s="1594"/>
      <c r="R991" s="1594"/>
      <c r="S991" s="1594"/>
      <c r="T991" s="1594"/>
      <c r="U991" s="1594"/>
      <c r="V991" s="1594"/>
      <c r="W991" s="1594"/>
      <c r="X991" s="1594"/>
      <c r="Y991" s="1594"/>
      <c r="Z991" s="1594"/>
      <c r="AA991" s="1594"/>
      <c r="AB991" s="1594"/>
      <c r="AC991" s="1594"/>
      <c r="AD991" s="1594"/>
      <c r="AE991" s="1594"/>
      <c r="AF991" s="1594"/>
      <c r="AG991" s="1594"/>
      <c r="AH991" s="1594"/>
      <c r="AI991" s="1595"/>
      <c r="AJ991" s="1514">
        <f>SUM(AJ985:AQ989)</f>
        <v>75577868</v>
      </c>
      <c r="AK991" s="1515"/>
      <c r="AL991" s="1515"/>
      <c r="AM991" s="1515"/>
      <c r="AN991" s="1515"/>
      <c r="AO991" s="1515"/>
      <c r="AP991" s="1515"/>
      <c r="AQ991" s="151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7"/>
      <c r="C992" s="1518"/>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9"/>
      <c r="AF992" s="1523" t="s">
        <v>675</v>
      </c>
      <c r="AG992" s="1524"/>
      <c r="AH992" s="1524"/>
      <c r="AI992" s="1525"/>
      <c r="AJ992" s="1517"/>
      <c r="AK992" s="1518"/>
      <c r="AL992" s="1518"/>
      <c r="AM992" s="1518"/>
      <c r="AN992" s="1518"/>
      <c r="AO992" s="1518"/>
      <c r="AP992" s="1518"/>
      <c r="AQ992" s="15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30" t="s">
        <v>1327</v>
      </c>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2"/>
      <c r="AF993" s="79"/>
      <c r="AG993" s="1526" t="s">
        <v>554</v>
      </c>
      <c r="AH993" s="1527"/>
      <c r="AI993" s="87"/>
      <c r="AJ993" s="1558">
        <f>ROUND(IF(AND(AG993="yes",D999&gt;0),AJ991*0.2,0),0)</f>
        <v>15115574</v>
      </c>
      <c r="AK993" s="1559"/>
      <c r="AL993" s="1559"/>
      <c r="AM993" s="1559"/>
      <c r="AN993" s="1559"/>
      <c r="AO993" s="1559"/>
      <c r="AP993" s="1559"/>
      <c r="AQ993" s="156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8" t="s">
        <v>2565</v>
      </c>
      <c r="E994" s="1579"/>
      <c r="F994" s="1579"/>
      <c r="G994" s="1579"/>
      <c r="H994" s="1579"/>
      <c r="I994" s="1579"/>
      <c r="J994" s="1579"/>
      <c r="K994" s="1579"/>
      <c r="L994" s="1579"/>
      <c r="M994" s="1579"/>
      <c r="N994" s="1579"/>
      <c r="O994" s="1579"/>
      <c r="P994" s="1579"/>
      <c r="Q994" s="1579"/>
      <c r="R994" s="1579"/>
      <c r="S994" s="1579"/>
      <c r="T994" s="1579"/>
      <c r="U994" s="1579"/>
      <c r="V994" s="1579"/>
      <c r="W994" s="1579"/>
      <c r="X994" s="1579"/>
      <c r="Y994" s="1579"/>
      <c r="Z994" s="1579"/>
      <c r="AA994" s="1579"/>
      <c r="AB994" s="1579"/>
      <c r="AC994" s="1579"/>
      <c r="AD994" s="1579"/>
      <c r="AE994" s="1580"/>
      <c r="AF994" s="73"/>
      <c r="AG994" s="14"/>
      <c r="AH994" s="14"/>
      <c r="AI994" s="83"/>
      <c r="AJ994" s="1561"/>
      <c r="AK994" s="1562"/>
      <c r="AL994" s="1562"/>
      <c r="AM994" s="1562"/>
      <c r="AN994" s="1562"/>
      <c r="AO994" s="1562"/>
      <c r="AP994" s="1562"/>
      <c r="AQ994" s="156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8"/>
      <c r="E995" s="1579"/>
      <c r="F995" s="1579"/>
      <c r="G995" s="1579"/>
      <c r="H995" s="1579"/>
      <c r="I995" s="1579"/>
      <c r="J995" s="1579"/>
      <c r="K995" s="1579"/>
      <c r="L995" s="1579"/>
      <c r="M995" s="1579"/>
      <c r="N995" s="1579"/>
      <c r="O995" s="1579"/>
      <c r="P995" s="1579"/>
      <c r="Q995" s="1579"/>
      <c r="R995" s="1579"/>
      <c r="S995" s="1579"/>
      <c r="T995" s="1579"/>
      <c r="U995" s="1579"/>
      <c r="V995" s="1579"/>
      <c r="W995" s="1579"/>
      <c r="X995" s="1579"/>
      <c r="Y995" s="1579"/>
      <c r="Z995" s="1579"/>
      <c r="AA995" s="1579"/>
      <c r="AB995" s="1579"/>
      <c r="AC995" s="1579"/>
      <c r="AD995" s="1579"/>
      <c r="AE995" s="1580"/>
      <c r="AF995" s="73"/>
      <c r="AG995" s="14"/>
      <c r="AH995" s="14"/>
      <c r="AI995" s="83"/>
      <c r="AJ995" s="1561"/>
      <c r="AK995" s="1562"/>
      <c r="AL995" s="1562"/>
      <c r="AM995" s="1562"/>
      <c r="AN995" s="1562"/>
      <c r="AO995" s="1562"/>
      <c r="AP995" s="1562"/>
      <c r="AQ995" s="156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8"/>
      <c r="E996" s="1579"/>
      <c r="F996" s="1579"/>
      <c r="G996" s="1579"/>
      <c r="H996" s="1579"/>
      <c r="I996" s="1579"/>
      <c r="J996" s="1579"/>
      <c r="K996" s="1579"/>
      <c r="L996" s="1579"/>
      <c r="M996" s="1579"/>
      <c r="N996" s="1579"/>
      <c r="O996" s="1579"/>
      <c r="P996" s="1579"/>
      <c r="Q996" s="1579"/>
      <c r="R996" s="1579"/>
      <c r="S996" s="1579"/>
      <c r="T996" s="1579"/>
      <c r="U996" s="1579"/>
      <c r="V996" s="1579"/>
      <c r="W996" s="1579"/>
      <c r="X996" s="1579"/>
      <c r="Y996" s="1579"/>
      <c r="Z996" s="1579"/>
      <c r="AA996" s="1579"/>
      <c r="AB996" s="1579"/>
      <c r="AC996" s="1579"/>
      <c r="AD996" s="1579"/>
      <c r="AE996" s="1580"/>
      <c r="AF996" s="73"/>
      <c r="AG996" s="14"/>
      <c r="AH996" s="14"/>
      <c r="AI996" s="83"/>
      <c r="AJ996" s="1561"/>
      <c r="AK996" s="1562"/>
      <c r="AL996" s="1562"/>
      <c r="AM996" s="1562"/>
      <c r="AN996" s="1562"/>
      <c r="AO996" s="1562"/>
      <c r="AP996" s="1562"/>
      <c r="AQ996" s="156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8"/>
      <c r="E997" s="1579"/>
      <c r="F997" s="1579"/>
      <c r="G997" s="1579"/>
      <c r="H997" s="1579"/>
      <c r="I997" s="1579"/>
      <c r="J997" s="1579"/>
      <c r="K997" s="1579"/>
      <c r="L997" s="1579"/>
      <c r="M997" s="1579"/>
      <c r="N997" s="1579"/>
      <c r="O997" s="1579"/>
      <c r="P997" s="1579"/>
      <c r="Q997" s="1579"/>
      <c r="R997" s="1579"/>
      <c r="S997" s="1579"/>
      <c r="T997" s="1579"/>
      <c r="U997" s="1579"/>
      <c r="V997" s="1579"/>
      <c r="W997" s="1579"/>
      <c r="X997" s="1579"/>
      <c r="Y997" s="1579"/>
      <c r="Z997" s="1579"/>
      <c r="AA997" s="1579"/>
      <c r="AB997" s="1579"/>
      <c r="AC997" s="1579"/>
      <c r="AD997" s="1579"/>
      <c r="AE997" s="1580"/>
      <c r="AF997" s="73"/>
      <c r="AG997" s="14"/>
      <c r="AH997" s="14"/>
      <c r="AI997" s="83"/>
      <c r="AJ997" s="1561"/>
      <c r="AK997" s="1562"/>
      <c r="AL997" s="1562"/>
      <c r="AM997" s="1562"/>
      <c r="AN997" s="1562"/>
      <c r="AO997" s="1562"/>
      <c r="AP997" s="1562"/>
      <c r="AQ997" s="156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1" t="s">
        <v>2566</v>
      </c>
      <c r="E998" s="1582"/>
      <c r="F998" s="1582"/>
      <c r="G998" s="1582"/>
      <c r="H998" s="1582"/>
      <c r="I998" s="1582"/>
      <c r="J998" s="1582"/>
      <c r="K998" s="1582"/>
      <c r="L998" s="1582"/>
      <c r="M998" s="1582"/>
      <c r="N998" s="1582"/>
      <c r="O998" s="1582"/>
      <c r="P998" s="1582"/>
      <c r="Q998" s="1582"/>
      <c r="R998" s="1582"/>
      <c r="S998" s="1582"/>
      <c r="T998" s="1582"/>
      <c r="U998" s="1582"/>
      <c r="V998" s="1582"/>
      <c r="W998" s="1582"/>
      <c r="X998" s="1582"/>
      <c r="Y998" s="1582"/>
      <c r="Z998" s="1582"/>
      <c r="AA998" s="1582"/>
      <c r="AB998" s="1582"/>
      <c r="AC998" s="1582"/>
      <c r="AD998" s="1582"/>
      <c r="AE998" s="1583"/>
      <c r="AF998" s="73"/>
      <c r="AG998" s="14"/>
      <c r="AH998" s="14"/>
      <c r="AI998" s="83"/>
      <c r="AJ998" s="1561"/>
      <c r="AK998" s="1562"/>
      <c r="AL998" s="1562"/>
      <c r="AM998" s="1562"/>
      <c r="AN998" s="1562"/>
      <c r="AO998" s="1562"/>
      <c r="AP998" s="1562"/>
      <c r="AQ998" s="156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20" t="s">
        <v>2738</v>
      </c>
      <c r="E999" s="1621"/>
      <c r="F999" s="1621"/>
      <c r="G999" s="1621"/>
      <c r="H999" s="1621"/>
      <c r="I999" s="1621"/>
      <c r="J999" s="1621"/>
      <c r="K999" s="1621"/>
      <c r="L999" s="1621"/>
      <c r="M999" s="1621"/>
      <c r="N999" s="1621"/>
      <c r="O999" s="1621"/>
      <c r="P999" s="1621"/>
      <c r="Q999" s="1621"/>
      <c r="R999" s="1621"/>
      <c r="S999" s="1621"/>
      <c r="T999" s="1621"/>
      <c r="U999" s="1621"/>
      <c r="V999" s="1621"/>
      <c r="W999" s="1621"/>
      <c r="X999" s="1621"/>
      <c r="Y999" s="1621"/>
      <c r="Z999" s="1621"/>
      <c r="AA999" s="1621"/>
      <c r="AB999" s="1621"/>
      <c r="AC999" s="1621"/>
      <c r="AD999" s="1621"/>
      <c r="AE999" s="1622"/>
      <c r="AF999" s="77"/>
      <c r="AG999" s="7"/>
      <c r="AH999" s="7"/>
      <c r="AI999" s="78"/>
      <c r="AJ999" s="1564"/>
      <c r="AK999" s="1565"/>
      <c r="AL999" s="1565"/>
      <c r="AM999" s="1565"/>
      <c r="AN999" s="1565"/>
      <c r="AO999" s="1565"/>
      <c r="AP999" s="1565"/>
      <c r="AQ999" s="156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0" t="s">
        <v>1397</v>
      </c>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2"/>
      <c r="AF1000" s="79"/>
      <c r="AG1000" s="1528" t="s">
        <v>678</v>
      </c>
      <c r="AH1000" s="1529"/>
      <c r="AI1000" s="87"/>
      <c r="AJ1000" s="1558">
        <f>ROUND(IF(AG1000="yes",AJ991*0.05,0),0)</f>
        <v>0</v>
      </c>
      <c r="AK1000" s="1559"/>
      <c r="AL1000" s="1559"/>
      <c r="AM1000" s="1559"/>
      <c r="AN1000" s="1559"/>
      <c r="AO1000" s="1559"/>
      <c r="AP1000" s="1559"/>
      <c r="AQ1000" s="156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8" t="s">
        <v>1395</v>
      </c>
      <c r="E1001" s="1579"/>
      <c r="F1001" s="1579"/>
      <c r="G1001" s="1579"/>
      <c r="H1001" s="1579"/>
      <c r="I1001" s="1579"/>
      <c r="J1001" s="1579"/>
      <c r="K1001" s="1579"/>
      <c r="L1001" s="1579"/>
      <c r="M1001" s="1579"/>
      <c r="N1001" s="1579"/>
      <c r="O1001" s="1579"/>
      <c r="P1001" s="1579"/>
      <c r="Q1001" s="1579"/>
      <c r="R1001" s="1579"/>
      <c r="S1001" s="1579"/>
      <c r="T1001" s="1579"/>
      <c r="U1001" s="1579"/>
      <c r="V1001" s="1579"/>
      <c r="W1001" s="1579"/>
      <c r="X1001" s="1579"/>
      <c r="Y1001" s="1579"/>
      <c r="Z1001" s="1579"/>
      <c r="AA1001" s="1579"/>
      <c r="AB1001" s="1579"/>
      <c r="AC1001" s="1579"/>
      <c r="AD1001" s="1579"/>
      <c r="AE1001" s="1580"/>
      <c r="AF1001" s="73"/>
      <c r="AG1001" s="14"/>
      <c r="AH1001" s="14"/>
      <c r="AI1001" s="83"/>
      <c r="AJ1001" s="1561"/>
      <c r="AK1001" s="1562"/>
      <c r="AL1001" s="1562"/>
      <c r="AM1001" s="1562"/>
      <c r="AN1001" s="1562"/>
      <c r="AO1001" s="1562"/>
      <c r="AP1001" s="1562"/>
      <c r="AQ1001" s="156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8"/>
      <c r="E1002" s="1579"/>
      <c r="F1002" s="1579"/>
      <c r="G1002" s="1579"/>
      <c r="H1002" s="1579"/>
      <c r="I1002" s="1579"/>
      <c r="J1002" s="1579"/>
      <c r="K1002" s="1579"/>
      <c r="L1002" s="1579"/>
      <c r="M1002" s="1579"/>
      <c r="N1002" s="1579"/>
      <c r="O1002" s="1579"/>
      <c r="P1002" s="1579"/>
      <c r="Q1002" s="1579"/>
      <c r="R1002" s="1579"/>
      <c r="S1002" s="1579"/>
      <c r="T1002" s="1579"/>
      <c r="U1002" s="1579"/>
      <c r="V1002" s="1579"/>
      <c r="W1002" s="1579"/>
      <c r="X1002" s="1579"/>
      <c r="Y1002" s="1579"/>
      <c r="Z1002" s="1579"/>
      <c r="AA1002" s="1579"/>
      <c r="AB1002" s="1579"/>
      <c r="AC1002" s="1579"/>
      <c r="AD1002" s="1579"/>
      <c r="AE1002" s="1580"/>
      <c r="AF1002" s="73"/>
      <c r="AG1002" s="14"/>
      <c r="AH1002" s="14"/>
      <c r="AI1002" s="83"/>
      <c r="AJ1002" s="1561"/>
      <c r="AK1002" s="1562"/>
      <c r="AL1002" s="1562"/>
      <c r="AM1002" s="1562"/>
      <c r="AN1002" s="1562"/>
      <c r="AO1002" s="1562"/>
      <c r="AP1002" s="1562"/>
      <c r="AQ1002" s="1563"/>
      <c r="AR1002" s="68"/>
      <c r="AS1002" s="68"/>
      <c r="AT1002" s="68"/>
      <c r="AU1002" s="68"/>
      <c r="AV1002" s="68"/>
      <c r="AW1002" s="68"/>
      <c r="AX1002" s="68"/>
      <c r="AY1002" s="949">
        <f>G753+O797</f>
        <v>170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8"/>
      <c r="E1003" s="1579"/>
      <c r="F1003" s="1579"/>
      <c r="G1003" s="1579"/>
      <c r="H1003" s="1579"/>
      <c r="I1003" s="1579"/>
      <c r="J1003" s="1579"/>
      <c r="K1003" s="1579"/>
      <c r="L1003" s="1579"/>
      <c r="M1003" s="1579"/>
      <c r="N1003" s="1579"/>
      <c r="O1003" s="1579"/>
      <c r="P1003" s="1579"/>
      <c r="Q1003" s="1579"/>
      <c r="R1003" s="1579"/>
      <c r="S1003" s="1579"/>
      <c r="T1003" s="1579"/>
      <c r="U1003" s="1579"/>
      <c r="V1003" s="1579"/>
      <c r="W1003" s="1579"/>
      <c r="X1003" s="1579"/>
      <c r="Y1003" s="1579"/>
      <c r="Z1003" s="1579"/>
      <c r="AA1003" s="1579"/>
      <c r="AB1003" s="1579"/>
      <c r="AC1003" s="1579"/>
      <c r="AD1003" s="1579"/>
      <c r="AE1003" s="1580"/>
      <c r="AF1003" s="73"/>
      <c r="AG1003" s="14"/>
      <c r="AH1003" s="14"/>
      <c r="AI1003" s="83"/>
      <c r="AJ1003" s="1561"/>
      <c r="AK1003" s="1562"/>
      <c r="AL1003" s="1562"/>
      <c r="AM1003" s="1562"/>
      <c r="AN1003" s="1562"/>
      <c r="AO1003" s="1562"/>
      <c r="AP1003" s="1562"/>
      <c r="AQ1003" s="156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8"/>
      <c r="E1004" s="1579"/>
      <c r="F1004" s="1579"/>
      <c r="G1004" s="1579"/>
      <c r="H1004" s="1579"/>
      <c r="I1004" s="1579"/>
      <c r="J1004" s="1579"/>
      <c r="K1004" s="1579"/>
      <c r="L1004" s="1579"/>
      <c r="M1004" s="1579"/>
      <c r="N1004" s="1579"/>
      <c r="O1004" s="1579"/>
      <c r="P1004" s="1579"/>
      <c r="Q1004" s="1579"/>
      <c r="R1004" s="1579"/>
      <c r="S1004" s="1579"/>
      <c r="T1004" s="1579"/>
      <c r="U1004" s="1579"/>
      <c r="V1004" s="1579"/>
      <c r="W1004" s="1579"/>
      <c r="X1004" s="1579"/>
      <c r="Y1004" s="1579"/>
      <c r="Z1004" s="1579"/>
      <c r="AA1004" s="1579"/>
      <c r="AB1004" s="1579"/>
      <c r="AC1004" s="1579"/>
      <c r="AD1004" s="1579"/>
      <c r="AE1004" s="1580"/>
      <c r="AF1004" s="73"/>
      <c r="AG1004" s="14"/>
      <c r="AH1004" s="14"/>
      <c r="AI1004" s="83"/>
      <c r="AJ1004" s="1561"/>
      <c r="AK1004" s="1562"/>
      <c r="AL1004" s="1562"/>
      <c r="AM1004" s="1562"/>
      <c r="AN1004" s="1562"/>
      <c r="AO1004" s="1562"/>
      <c r="AP1004" s="1562"/>
      <c r="AQ1004" s="1563"/>
      <c r="AR1004" s="68"/>
      <c r="AS1004" s="68"/>
      <c r="AT1004" s="68"/>
      <c r="AU1004" s="68"/>
      <c r="AV1004" s="68"/>
      <c r="AW1004" s="68"/>
      <c r="AX1004" s="68"/>
      <c r="AY1004" s="948">
        <f>ROUNDDOWN(X1047/I1047,2)</f>
        <v>0.55000000000000004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1"/>
      <c r="E1005" s="1582"/>
      <c r="F1005" s="1582"/>
      <c r="G1005" s="1582"/>
      <c r="H1005" s="1582"/>
      <c r="I1005" s="1582"/>
      <c r="J1005" s="1582"/>
      <c r="K1005" s="1582"/>
      <c r="L1005" s="1582"/>
      <c r="M1005" s="1582"/>
      <c r="N1005" s="1582"/>
      <c r="O1005" s="1582"/>
      <c r="P1005" s="1582"/>
      <c r="Q1005" s="1582"/>
      <c r="R1005" s="1582"/>
      <c r="S1005" s="1582"/>
      <c r="T1005" s="1582"/>
      <c r="U1005" s="1582"/>
      <c r="V1005" s="1582"/>
      <c r="W1005" s="1582"/>
      <c r="X1005" s="1582"/>
      <c r="Y1005" s="1582"/>
      <c r="Z1005" s="1582"/>
      <c r="AA1005" s="1582"/>
      <c r="AB1005" s="1582"/>
      <c r="AC1005" s="1582"/>
      <c r="AD1005" s="1582"/>
      <c r="AE1005" s="1583"/>
      <c r="AF1005" s="77"/>
      <c r="AG1005" s="7"/>
      <c r="AH1005" s="7"/>
      <c r="AI1005" s="78"/>
      <c r="AJ1005" s="1564"/>
      <c r="AK1005" s="1565"/>
      <c r="AL1005" s="1565"/>
      <c r="AM1005" s="1565"/>
      <c r="AN1005" s="1565"/>
      <c r="AO1005" s="1565"/>
      <c r="AP1005" s="1565"/>
      <c r="AQ1005" s="1566"/>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20" t="s">
        <v>1874</v>
      </c>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2"/>
      <c r="AF1006" s="86"/>
      <c r="AG1006" s="1528" t="s">
        <v>678</v>
      </c>
      <c r="AH1006" s="1529"/>
      <c r="AI1006" s="87"/>
      <c r="AJ1006" s="1558">
        <f>ROUND(IF(AG1006="yes",AJ991*0.1,0),0)</f>
        <v>0</v>
      </c>
      <c r="AK1006" s="1559"/>
      <c r="AL1006" s="1559"/>
      <c r="AM1006" s="1559"/>
      <c r="AN1006" s="1559"/>
      <c r="AO1006" s="1559"/>
      <c r="AP1006" s="1559"/>
      <c r="AQ1006" s="1560"/>
      <c r="AR1006" s="68"/>
      <c r="AS1006" s="68"/>
      <c r="AT1006" s="68"/>
      <c r="AU1006" s="68"/>
      <c r="AV1006" s="68"/>
      <c r="AW1006" s="68"/>
      <c r="AX1006" s="68"/>
      <c r="BB1006" s="34"/>
      <c r="BD1006" s="34"/>
      <c r="BE1006" s="34"/>
      <c r="BF1006" s="34"/>
    </row>
    <row r="1007" spans="1:157" ht="12.95" customHeight="1">
      <c r="A1007" s="14"/>
      <c r="B1007" s="73"/>
      <c r="C1007" s="74"/>
      <c r="D1007" s="1508" t="s">
        <v>1396</v>
      </c>
      <c r="E1007" s="1509"/>
      <c r="F1007" s="1509"/>
      <c r="G1007" s="1509"/>
      <c r="H1007" s="1509"/>
      <c r="I1007" s="1509"/>
      <c r="J1007" s="1509"/>
      <c r="K1007" s="1509"/>
      <c r="L1007" s="1509"/>
      <c r="M1007" s="1509"/>
      <c r="N1007" s="1509"/>
      <c r="O1007" s="1509"/>
      <c r="P1007" s="1509"/>
      <c r="Q1007" s="1509"/>
      <c r="R1007" s="1509"/>
      <c r="S1007" s="1509"/>
      <c r="T1007" s="1509"/>
      <c r="U1007" s="1509"/>
      <c r="V1007" s="1509"/>
      <c r="W1007" s="1509"/>
      <c r="X1007" s="1509"/>
      <c r="Y1007" s="1509"/>
      <c r="Z1007" s="1509"/>
      <c r="AA1007" s="1509"/>
      <c r="AB1007" s="1509"/>
      <c r="AC1007" s="1509"/>
      <c r="AD1007" s="1509"/>
      <c r="AE1007" s="1510"/>
      <c r="AF1007" s="73"/>
      <c r="AI1007" s="83"/>
      <c r="AJ1007" s="1561"/>
      <c r="AK1007" s="1562"/>
      <c r="AL1007" s="1562"/>
      <c r="AM1007" s="1562"/>
      <c r="AN1007" s="1562"/>
      <c r="AO1007" s="1562"/>
      <c r="AP1007" s="1562"/>
      <c r="AQ1007" s="1563"/>
      <c r="AR1007" s="68"/>
      <c r="AS1007" s="68"/>
      <c r="AT1007" s="68"/>
      <c r="AU1007" s="68"/>
      <c r="AV1007" s="68"/>
      <c r="AW1007" s="68"/>
      <c r="AX1007" s="68"/>
    </row>
    <row r="1008" spans="1:157" ht="12.95" customHeight="1">
      <c r="A1008" s="14"/>
      <c r="B1008" s="73"/>
      <c r="C1008" s="74"/>
      <c r="D1008" s="1508"/>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G1008" s="14"/>
      <c r="AH1008" s="14"/>
      <c r="AI1008" s="83"/>
      <c r="AJ1008" s="1561"/>
      <c r="AK1008" s="1562"/>
      <c r="AL1008" s="1562"/>
      <c r="AM1008" s="1562"/>
      <c r="AN1008" s="1562"/>
      <c r="AO1008" s="1562"/>
      <c r="AP1008" s="1562"/>
      <c r="AQ1008" s="1563"/>
      <c r="AR1008" s="68"/>
      <c r="AS1008" s="68"/>
      <c r="AT1008" s="68"/>
      <c r="AU1008" s="68"/>
      <c r="AV1008" s="68"/>
      <c r="AW1008" s="68"/>
      <c r="AX1008" s="68"/>
    </row>
    <row r="1009" spans="1:51" ht="12.95" customHeight="1">
      <c r="A1009" s="14"/>
      <c r="B1009" s="85"/>
      <c r="C1009" s="76"/>
      <c r="D1009" s="1533"/>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5"/>
      <c r="AF1009" s="77"/>
      <c r="AG1009" s="7"/>
      <c r="AH1009" s="7"/>
      <c r="AI1009" s="78"/>
      <c r="AJ1009" s="1564"/>
      <c r="AK1009" s="1565"/>
      <c r="AL1009" s="1565"/>
      <c r="AM1009" s="1565"/>
      <c r="AN1009" s="1565"/>
      <c r="AO1009" s="1565"/>
      <c r="AP1009" s="1565"/>
      <c r="AQ1009" s="1566"/>
      <c r="AR1009" s="68"/>
      <c r="AS1009" s="68"/>
      <c r="AT1009" s="68"/>
      <c r="AU1009" s="68"/>
      <c r="AV1009" s="68"/>
      <c r="AW1009" s="68"/>
      <c r="AX1009" s="68"/>
    </row>
    <row r="1010" spans="1:51" ht="12.95" customHeight="1">
      <c r="A1010" s="14"/>
      <c r="B1010" s="79"/>
      <c r="C1010" s="80" t="s">
        <v>213</v>
      </c>
      <c r="D1010" s="1520" t="s">
        <v>1398</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79"/>
      <c r="AG1010" s="1528" t="s">
        <v>678</v>
      </c>
      <c r="AH1010" s="1529"/>
      <c r="AI1010" s="87"/>
      <c r="AJ1010" s="1558">
        <f>ROUND(IF(AG1010="yes",AJ991*0.02,0),0)</f>
        <v>0</v>
      </c>
      <c r="AK1010" s="1559"/>
      <c r="AL1010" s="1559"/>
      <c r="AM1010" s="1559"/>
      <c r="AN1010" s="1559"/>
      <c r="AO1010" s="1559"/>
      <c r="AP1010" s="1559"/>
      <c r="AQ1010" s="1560"/>
      <c r="AR1010" s="68"/>
      <c r="AS1010" s="68"/>
      <c r="AT1010" s="68"/>
      <c r="AU1010" s="68"/>
      <c r="AV1010" s="68"/>
      <c r="AW1010" s="68"/>
      <c r="AX1010" s="68"/>
      <c r="AY1010" s="215">
        <f>IF(SUM(AY1012:AY1020)&lt;=0.1,SUM(AY1012:AY1020),0.1)</f>
        <v>0</v>
      </c>
    </row>
    <row r="1011" spans="1:51" ht="14.25" customHeight="1">
      <c r="A1011" s="14"/>
      <c r="B1011" s="73"/>
      <c r="C1011" s="74"/>
      <c r="D1011" s="1533" t="s">
        <v>1399</v>
      </c>
      <c r="E1011" s="1534"/>
      <c r="F1011" s="1534"/>
      <c r="G1011" s="1534"/>
      <c r="H1011" s="1534"/>
      <c r="I1011" s="1534"/>
      <c r="J1011" s="1534"/>
      <c r="K1011" s="1534"/>
      <c r="L1011" s="1534"/>
      <c r="M1011" s="1534"/>
      <c r="N1011" s="1534"/>
      <c r="O1011" s="1534"/>
      <c r="P1011" s="1534"/>
      <c r="Q1011" s="1534"/>
      <c r="R1011" s="1534"/>
      <c r="S1011" s="1534"/>
      <c r="T1011" s="1534"/>
      <c r="U1011" s="1534"/>
      <c r="V1011" s="1534"/>
      <c r="W1011" s="1534"/>
      <c r="X1011" s="1534"/>
      <c r="Y1011" s="1534"/>
      <c r="Z1011" s="1534"/>
      <c r="AA1011" s="1534"/>
      <c r="AB1011" s="1534"/>
      <c r="AC1011" s="1534"/>
      <c r="AD1011" s="1534"/>
      <c r="AE1011" s="1535"/>
      <c r="AF1011" s="77"/>
      <c r="AG1011" s="7"/>
      <c r="AH1011" s="7"/>
      <c r="AI1011" s="78"/>
      <c r="AJ1011" s="1564"/>
      <c r="AK1011" s="1565"/>
      <c r="AL1011" s="1565"/>
      <c r="AM1011" s="1565"/>
      <c r="AN1011" s="1565"/>
      <c r="AO1011" s="1565"/>
      <c r="AP1011" s="1565"/>
      <c r="AQ1011" s="1566"/>
      <c r="AR1011" s="68"/>
      <c r="AS1011" s="68"/>
      <c r="AT1011" s="68"/>
      <c r="AU1011" s="68"/>
      <c r="AV1011" s="68"/>
      <c r="AW1011" s="68"/>
      <c r="AX1011" s="68"/>
    </row>
    <row r="1012" spans="1:51" ht="12.95" customHeight="1">
      <c r="A1012" s="14"/>
      <c r="B1012" s="79"/>
      <c r="C1012" s="80" t="s">
        <v>216</v>
      </c>
      <c r="D1012" s="1520" t="s">
        <v>1400</v>
      </c>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2"/>
      <c r="AF1012" s="79"/>
      <c r="AG1012" s="1528" t="s">
        <v>678</v>
      </c>
      <c r="AH1012" s="1529"/>
      <c r="AI1012" s="79"/>
      <c r="AJ1012" s="1558">
        <f>ROUND(IF(AG1012="yes",AJ991*0.02,0),0)</f>
        <v>0</v>
      </c>
      <c r="AK1012" s="1559"/>
      <c r="AL1012" s="1559"/>
      <c r="AM1012" s="1559"/>
      <c r="AN1012" s="1559"/>
      <c r="AO1012" s="1559"/>
      <c r="AP1012" s="1559"/>
      <c r="AQ1012" s="1560"/>
      <c r="AR1012" s="68"/>
      <c r="AS1012" s="68"/>
      <c r="AT1012" s="68"/>
      <c r="AU1012" s="68"/>
      <c r="AV1012" s="68"/>
      <c r="AW1012" s="68"/>
      <c r="AX1012" s="68"/>
      <c r="AY1012" s="213">
        <f>IF(A1064="Yes",0.05,0)</f>
        <v>0</v>
      </c>
    </row>
    <row r="1013" spans="1:51" ht="12.95" customHeight="1">
      <c r="A1013" s="14"/>
      <c r="B1013" s="73"/>
      <c r="C1013" s="74"/>
      <c r="D1013" s="1508" t="s">
        <v>1401</v>
      </c>
      <c r="E1013" s="1509"/>
      <c r="F1013" s="1509"/>
      <c r="G1013" s="1509"/>
      <c r="H1013" s="1509"/>
      <c r="I1013" s="1509"/>
      <c r="J1013" s="1509"/>
      <c r="K1013" s="1509"/>
      <c r="L1013" s="1509"/>
      <c r="M1013" s="1509"/>
      <c r="N1013" s="1509"/>
      <c r="O1013" s="1509"/>
      <c r="P1013" s="1509"/>
      <c r="Q1013" s="1509"/>
      <c r="R1013" s="1509"/>
      <c r="S1013" s="1509"/>
      <c r="T1013" s="1509"/>
      <c r="U1013" s="1509"/>
      <c r="V1013" s="1509"/>
      <c r="W1013" s="1509"/>
      <c r="X1013" s="1509"/>
      <c r="Y1013" s="1509"/>
      <c r="Z1013" s="1509"/>
      <c r="AA1013" s="1509"/>
      <c r="AB1013" s="1509"/>
      <c r="AC1013" s="1509"/>
      <c r="AD1013" s="1509"/>
      <c r="AE1013" s="1510"/>
      <c r="AF1013" s="1417" t="str">
        <f>IF(AND(AG1012="yes",AB212&lt;&gt;1),"The project may not be eligible for this boost","")</f>
        <v/>
      </c>
      <c r="AG1013" s="1418"/>
      <c r="AH1013" s="1418"/>
      <c r="AI1013" s="1419"/>
      <c r="AJ1013" s="1561"/>
      <c r="AK1013" s="1562"/>
      <c r="AL1013" s="1562"/>
      <c r="AM1013" s="1562"/>
      <c r="AN1013" s="1562"/>
      <c r="AO1013" s="1562"/>
      <c r="AP1013" s="1562"/>
      <c r="AQ1013" s="1563"/>
      <c r="AR1013" s="68"/>
      <c r="AS1013" s="68"/>
      <c r="AT1013" s="68"/>
      <c r="AU1013" s="68"/>
      <c r="AV1013" s="68"/>
      <c r="AW1013" s="68"/>
      <c r="AX1013" s="68"/>
      <c r="AY1013" s="213">
        <f>IF(A1070="Yes",0.02,0)</f>
        <v>0</v>
      </c>
    </row>
    <row r="1014" spans="1:51" ht="12.95" customHeight="1">
      <c r="A1014" s="14"/>
      <c r="B1014" s="75"/>
      <c r="C1014" s="76"/>
      <c r="D1014" s="1533"/>
      <c r="E1014" s="1534"/>
      <c r="F1014" s="1534"/>
      <c r="G1014" s="1534"/>
      <c r="H1014" s="1534"/>
      <c r="I1014" s="1534"/>
      <c r="J1014" s="1534"/>
      <c r="K1014" s="1534"/>
      <c r="L1014" s="1534"/>
      <c r="M1014" s="1534"/>
      <c r="N1014" s="1534"/>
      <c r="O1014" s="1534"/>
      <c r="P1014" s="1534"/>
      <c r="Q1014" s="1534"/>
      <c r="R1014" s="1534"/>
      <c r="S1014" s="1534"/>
      <c r="T1014" s="1534"/>
      <c r="U1014" s="1534"/>
      <c r="V1014" s="1534"/>
      <c r="W1014" s="1534"/>
      <c r="X1014" s="1534"/>
      <c r="Y1014" s="1534"/>
      <c r="Z1014" s="1534"/>
      <c r="AA1014" s="1534"/>
      <c r="AB1014" s="1534"/>
      <c r="AC1014" s="1534"/>
      <c r="AD1014" s="1534"/>
      <c r="AE1014" s="1535"/>
      <c r="AF1014" s="1420"/>
      <c r="AG1014" s="1421"/>
      <c r="AH1014" s="1421"/>
      <c r="AI1014" s="1422"/>
      <c r="AJ1014" s="1564"/>
      <c r="AK1014" s="1565"/>
      <c r="AL1014" s="1565"/>
      <c r="AM1014" s="1565"/>
      <c r="AN1014" s="1565"/>
      <c r="AO1014" s="1565"/>
      <c r="AP1014" s="1565"/>
      <c r="AQ1014" s="1566"/>
      <c r="AR1014" s="68"/>
      <c r="AS1014" s="68"/>
      <c r="AT1014" s="68"/>
      <c r="AU1014" s="68"/>
      <c r="AV1014" s="68"/>
      <c r="AW1014" s="68"/>
      <c r="AX1014" s="68"/>
      <c r="AY1014" s="213">
        <f>IF(A1076="Yes",0.04,0)</f>
        <v>0</v>
      </c>
    </row>
    <row r="1015" spans="1:51" ht="12.95" customHeight="1">
      <c r="A1015" s="14"/>
      <c r="B1015" s="79"/>
      <c r="C1015" s="80" t="s">
        <v>219</v>
      </c>
      <c r="D1015" s="1530" t="s">
        <v>1402</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1528" t="s">
        <v>678</v>
      </c>
      <c r="AH1015" s="1529"/>
      <c r="AI1015" s="87"/>
      <c r="AJ1015" s="1558">
        <f>IF(AG1015="yes",AJ991*AY1010,0)</f>
        <v>0</v>
      </c>
      <c r="AK1015" s="1559"/>
      <c r="AL1015" s="1559"/>
      <c r="AM1015" s="1559"/>
      <c r="AN1015" s="1559"/>
      <c r="AO1015" s="1559"/>
      <c r="AP1015" s="1559"/>
      <c r="AQ1015" s="1560"/>
      <c r="AR1015" s="68"/>
      <c r="AS1015" s="68"/>
      <c r="AT1015" s="68"/>
      <c r="AU1015" s="68"/>
      <c r="AV1015" s="68"/>
      <c r="AW1015" s="68"/>
      <c r="AX1015" s="68"/>
      <c r="AY1015" s="213">
        <f>IF(A1083="Yes",0.04,0)</f>
        <v>0</v>
      </c>
    </row>
    <row r="1016" spans="1:51" ht="12.95" customHeight="1">
      <c r="A1016" s="14"/>
      <c r="B1016" s="73"/>
      <c r="C1016" s="74"/>
      <c r="D1016" s="1508" t="s">
        <v>1403</v>
      </c>
      <c r="E1016" s="1509"/>
      <c r="F1016" s="1509"/>
      <c r="G1016" s="1509"/>
      <c r="H1016" s="1509"/>
      <c r="I1016" s="1509"/>
      <c r="J1016" s="1509"/>
      <c r="K1016" s="1509"/>
      <c r="L1016" s="1509"/>
      <c r="M1016" s="1509"/>
      <c r="N1016" s="1509"/>
      <c r="O1016" s="1509"/>
      <c r="P1016" s="1509"/>
      <c r="Q1016" s="1509"/>
      <c r="R1016" s="1509"/>
      <c r="S1016" s="1509"/>
      <c r="T1016" s="1509"/>
      <c r="U1016" s="1509"/>
      <c r="V1016" s="1509"/>
      <c r="W1016" s="1509"/>
      <c r="X1016" s="1509"/>
      <c r="Y1016" s="1509"/>
      <c r="Z1016" s="1509"/>
      <c r="AA1016" s="1509"/>
      <c r="AB1016" s="1509"/>
      <c r="AC1016" s="1509"/>
      <c r="AD1016" s="1509"/>
      <c r="AE1016" s="1510"/>
      <c r="AF1016" s="1411" t="str">
        <f>IF(AND(AG1015="Yes",AY1010=0),AY1022,"")</f>
        <v/>
      </c>
      <c r="AG1016" s="1412"/>
      <c r="AH1016" s="1412"/>
      <c r="AI1016" s="1413"/>
      <c r="AJ1016" s="1561"/>
      <c r="AK1016" s="1562"/>
      <c r="AL1016" s="1562"/>
      <c r="AM1016" s="1562"/>
      <c r="AN1016" s="1562"/>
      <c r="AO1016" s="1562"/>
      <c r="AP1016" s="1562"/>
      <c r="AQ1016" s="1563"/>
      <c r="AR1016" s="68"/>
      <c r="AS1016" s="68"/>
      <c r="AT1016" s="68"/>
      <c r="AU1016" s="68"/>
      <c r="AV1016" s="68"/>
      <c r="AW1016" s="68"/>
      <c r="AX1016" s="68"/>
      <c r="AY1016" s="213">
        <f>IF(A1086="Yes",0.01,0)</f>
        <v>0</v>
      </c>
    </row>
    <row r="1017" spans="1:51" ht="12.95" customHeight="1">
      <c r="A1017" s="14"/>
      <c r="B1017" s="73"/>
      <c r="C1017" s="74"/>
      <c r="D1017" s="1508"/>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411"/>
      <c r="AG1017" s="1412"/>
      <c r="AH1017" s="1412"/>
      <c r="AI1017" s="1413"/>
      <c r="AJ1017" s="1561"/>
      <c r="AK1017" s="1562"/>
      <c r="AL1017" s="1562"/>
      <c r="AM1017" s="1562"/>
      <c r="AN1017" s="1562"/>
      <c r="AO1017" s="1562"/>
      <c r="AP1017" s="1562"/>
      <c r="AQ1017" s="1563"/>
      <c r="AR1017" s="68"/>
      <c r="AS1017" s="68"/>
      <c r="AT1017" s="68"/>
      <c r="AU1017" s="68"/>
      <c r="AV1017" s="68"/>
      <c r="AW1017" s="68"/>
      <c r="AX1017" s="68"/>
      <c r="AY1017" s="213">
        <f>IF(A1091="Yes",0.01,0)</f>
        <v>0</v>
      </c>
    </row>
    <row r="1018" spans="1:51" ht="12.95" customHeight="1">
      <c r="A1018" s="14"/>
      <c r="B1018" s="81"/>
      <c r="C1018" s="82"/>
      <c r="D1018" s="1533"/>
      <c r="E1018" s="1534"/>
      <c r="F1018" s="1534"/>
      <c r="G1018" s="1534"/>
      <c r="H1018" s="1534"/>
      <c r="I1018" s="1534"/>
      <c r="J1018" s="1534"/>
      <c r="K1018" s="1534"/>
      <c r="L1018" s="1534"/>
      <c r="M1018" s="1534"/>
      <c r="N1018" s="1534"/>
      <c r="O1018" s="1534"/>
      <c r="P1018" s="1534"/>
      <c r="Q1018" s="1534"/>
      <c r="R1018" s="1534"/>
      <c r="S1018" s="1534"/>
      <c r="T1018" s="1534"/>
      <c r="U1018" s="1534"/>
      <c r="V1018" s="1534"/>
      <c r="W1018" s="1534"/>
      <c r="X1018" s="1534"/>
      <c r="Y1018" s="1534"/>
      <c r="Z1018" s="1534"/>
      <c r="AA1018" s="1534"/>
      <c r="AB1018" s="1534"/>
      <c r="AC1018" s="1534"/>
      <c r="AD1018" s="1534"/>
      <c r="AE1018" s="1535"/>
      <c r="AF1018" s="1414"/>
      <c r="AG1018" s="1415"/>
      <c r="AH1018" s="1415"/>
      <c r="AI1018" s="1416"/>
      <c r="AJ1018" s="1564"/>
      <c r="AK1018" s="1565"/>
      <c r="AL1018" s="1565"/>
      <c r="AM1018" s="1565"/>
      <c r="AN1018" s="1565"/>
      <c r="AO1018" s="1565"/>
      <c r="AP1018" s="1565"/>
      <c r="AQ1018" s="1566"/>
      <c r="AR1018" s="68"/>
      <c r="AS1018" s="68"/>
      <c r="AT1018" s="68"/>
      <c r="AU1018" s="68"/>
      <c r="AV1018" s="68"/>
      <c r="AW1018" s="68"/>
      <c r="AX1018" s="68"/>
      <c r="AY1018" s="213">
        <f>IF(A1094="Yes",0.01,0)</f>
        <v>0</v>
      </c>
    </row>
    <row r="1019" spans="1:51" ht="12.95" customHeight="1">
      <c r="A1019" s="14"/>
      <c r="B1019" s="79"/>
      <c r="C1019" s="80" t="s">
        <v>224</v>
      </c>
      <c r="D1019" s="1608" t="s">
        <v>1404</v>
      </c>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10"/>
      <c r="AF1019" s="79"/>
      <c r="AG1019" s="1528" t="s">
        <v>678</v>
      </c>
      <c r="AH1019" s="1529"/>
      <c r="AI1019" s="87"/>
      <c r="AJ1019" s="1558">
        <f>ROUND(IF(AND(AG1019="Yes",J1023&lt;&gt;"N/A",AF1022&lt;&gt;""),MIN(AF1022,(0.15*AJ991)),0),0)</f>
        <v>0</v>
      </c>
      <c r="AK1019" s="1559"/>
      <c r="AL1019" s="1559"/>
      <c r="AM1019" s="1559"/>
      <c r="AN1019" s="1559"/>
      <c r="AO1019" s="1559"/>
      <c r="AP1019" s="1559"/>
      <c r="AQ1019" s="1560"/>
      <c r="AR1019" s="68"/>
      <c r="AS1019" s="68"/>
      <c r="AT1019" s="68"/>
      <c r="AU1019" s="68"/>
      <c r="AV1019" s="68"/>
      <c r="AW1019" s="68"/>
      <c r="AX1019" s="68"/>
      <c r="AY1019" s="213">
        <f>IF(A1098="Yes",0.02,0)</f>
        <v>0</v>
      </c>
    </row>
    <row r="1020" spans="1:51" ht="12.95" customHeight="1">
      <c r="A1020" s="14"/>
      <c r="B1020" s="81"/>
      <c r="C1020" s="84"/>
      <c r="D1020" s="1611"/>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3"/>
      <c r="AF1020" s="1536" t="str">
        <f>IF(AG1019="yes","Please Select Type and Enter Amount:","")</f>
        <v/>
      </c>
      <c r="AG1020" s="1537"/>
      <c r="AH1020" s="1537"/>
      <c r="AI1020" s="1538"/>
      <c r="AJ1020" s="1561"/>
      <c r="AK1020" s="1562"/>
      <c r="AL1020" s="1562"/>
      <c r="AM1020" s="1562"/>
      <c r="AN1020" s="1562"/>
      <c r="AO1020" s="1562"/>
      <c r="AP1020" s="1562"/>
      <c r="AQ1020" s="1563"/>
      <c r="AR1020" s="68"/>
      <c r="AS1020" s="68"/>
      <c r="AT1020" s="68"/>
      <c r="AU1020" s="68"/>
      <c r="AV1020" s="68"/>
      <c r="AW1020" s="68"/>
      <c r="AX1020" s="68"/>
      <c r="AY1020" s="214">
        <f>IF(A1103="Yes",0.02,0)</f>
        <v>0</v>
      </c>
    </row>
    <row r="1021" spans="1:51" ht="12.95" customHeight="1">
      <c r="A1021" s="14"/>
      <c r="B1021" s="81"/>
      <c r="C1021" s="84"/>
      <c r="D1021" s="1508" t="s">
        <v>1405</v>
      </c>
      <c r="E1021" s="1509"/>
      <c r="F1021" s="1509"/>
      <c r="G1021" s="1509"/>
      <c r="H1021" s="1509"/>
      <c r="I1021" s="1509"/>
      <c r="J1021" s="1509"/>
      <c r="K1021" s="1509"/>
      <c r="L1021" s="1509"/>
      <c r="M1021" s="1509"/>
      <c r="N1021" s="1509"/>
      <c r="O1021" s="1509"/>
      <c r="P1021" s="1509"/>
      <c r="Q1021" s="1509"/>
      <c r="R1021" s="1509"/>
      <c r="S1021" s="1509"/>
      <c r="T1021" s="1509"/>
      <c r="U1021" s="1509"/>
      <c r="V1021" s="1509"/>
      <c r="W1021" s="1509"/>
      <c r="X1021" s="1509"/>
      <c r="Y1021" s="1509"/>
      <c r="Z1021" s="1509"/>
      <c r="AA1021" s="1509"/>
      <c r="AB1021" s="1509"/>
      <c r="AC1021" s="1509"/>
      <c r="AD1021" s="1509"/>
      <c r="AE1021" s="1510"/>
      <c r="AF1021" s="1536"/>
      <c r="AG1021" s="1537"/>
      <c r="AH1021" s="1537"/>
      <c r="AI1021" s="1538"/>
      <c r="AJ1021" s="1561"/>
      <c r="AK1021" s="1562"/>
      <c r="AL1021" s="1562"/>
      <c r="AM1021" s="1562"/>
      <c r="AN1021" s="1562"/>
      <c r="AO1021" s="1562"/>
      <c r="AP1021" s="1562"/>
      <c r="AQ1021" s="1563"/>
      <c r="AR1021" s="68"/>
      <c r="AS1021" s="68"/>
      <c r="AT1021" s="68"/>
      <c r="AU1021" s="68"/>
      <c r="AV1021" s="68"/>
      <c r="AW1021" s="68"/>
      <c r="AX1021" s="68"/>
      <c r="AY1021" s="68"/>
    </row>
    <row r="1022" spans="1:51" ht="12.95" customHeight="1">
      <c r="A1022" s="14"/>
      <c r="B1022" s="81"/>
      <c r="C1022" s="84"/>
      <c r="D1022" s="1508"/>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39"/>
      <c r="AG1022" s="1539"/>
      <c r="AH1022" s="1539"/>
      <c r="AI1022" s="1539"/>
      <c r="AJ1022" s="1561"/>
      <c r="AK1022" s="1562"/>
      <c r="AL1022" s="1562"/>
      <c r="AM1022" s="1562"/>
      <c r="AN1022" s="1562"/>
      <c r="AO1022" s="1562"/>
      <c r="AP1022" s="1562"/>
      <c r="AQ1022" s="156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1" t="s">
        <v>600</v>
      </c>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39"/>
      <c r="AG1023" s="1539"/>
      <c r="AH1023" s="1539"/>
      <c r="AI1023" s="1539"/>
      <c r="AJ1023" s="1564"/>
      <c r="AK1023" s="1565"/>
      <c r="AL1023" s="1565"/>
      <c r="AM1023" s="1565"/>
      <c r="AN1023" s="1565"/>
      <c r="AO1023" s="1565"/>
      <c r="AP1023" s="1565"/>
      <c r="AQ1023" s="1566"/>
      <c r="AR1023" s="68"/>
      <c r="AS1023" s="68"/>
      <c r="AT1023" s="68"/>
      <c r="AU1023" s="68"/>
      <c r="AV1023" s="68"/>
      <c r="AW1023" s="68"/>
      <c r="AX1023" s="68"/>
      <c r="AY1023" s="68"/>
    </row>
    <row r="1024" spans="1:51" ht="12.95" customHeight="1">
      <c r="A1024" s="14"/>
      <c r="B1024" s="79"/>
      <c r="C1024" s="80" t="s">
        <v>230</v>
      </c>
      <c r="D1024" s="1520" t="s">
        <v>1406</v>
      </c>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2"/>
      <c r="AF1024" s="79"/>
      <c r="AG1024" s="1528" t="s">
        <v>554</v>
      </c>
      <c r="AH1024" s="1529"/>
      <c r="AI1024" s="87"/>
      <c r="AJ1024" s="1558">
        <f>ROUND(IF(AG1024="Yes",AF1026,0),0)</f>
        <v>4109289</v>
      </c>
      <c r="AK1024" s="1559"/>
      <c r="AL1024" s="1559"/>
      <c r="AM1024" s="1559"/>
      <c r="AN1024" s="1559"/>
      <c r="AO1024" s="1559"/>
      <c r="AP1024" s="1559"/>
      <c r="AQ1024" s="1560"/>
      <c r="AR1024" s="68"/>
      <c r="AS1024" s="68"/>
      <c r="AT1024" s="68"/>
      <c r="AU1024" s="68"/>
      <c r="AV1024" s="68"/>
      <c r="AW1024" s="68"/>
      <c r="AX1024" s="68"/>
      <c r="AY1024" s="68"/>
    </row>
    <row r="1025" spans="1:51" ht="12.95" customHeight="1">
      <c r="A1025" s="14"/>
      <c r="B1025" s="73"/>
      <c r="C1025" s="74"/>
      <c r="D1025" s="1508" t="s">
        <v>1881</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1614" t="str">
        <f>IF(AG1024="yes","Enter Amount:","")</f>
        <v>Enter Amount:</v>
      </c>
      <c r="AG1025" s="1615"/>
      <c r="AH1025" s="1615"/>
      <c r="AI1025" s="1616"/>
      <c r="AJ1025" s="1561"/>
      <c r="AK1025" s="1562"/>
      <c r="AL1025" s="1562"/>
      <c r="AM1025" s="1562"/>
      <c r="AN1025" s="1562"/>
      <c r="AO1025" s="1562"/>
      <c r="AP1025" s="1562"/>
      <c r="AQ1025" s="1563"/>
      <c r="AR1025" s="68"/>
      <c r="AS1025" s="68"/>
      <c r="AT1025" s="68"/>
      <c r="AU1025" s="68"/>
      <c r="AV1025" s="68"/>
      <c r="AW1025" s="68"/>
      <c r="AX1025" s="68"/>
      <c r="AY1025" s="68"/>
    </row>
    <row r="1026" spans="1:51" ht="12.95" customHeight="1">
      <c r="A1026" s="14"/>
      <c r="B1026" s="73"/>
      <c r="C1026" s="74"/>
      <c r="D1026" s="1508"/>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39">
        <v>4109289</v>
      </c>
      <c r="AG1026" s="1539"/>
      <c r="AH1026" s="1539"/>
      <c r="AI1026" s="1539"/>
      <c r="AJ1026" s="1561"/>
      <c r="AK1026" s="1562"/>
      <c r="AL1026" s="1562"/>
      <c r="AM1026" s="1562"/>
      <c r="AN1026" s="1562"/>
      <c r="AO1026" s="1562"/>
      <c r="AP1026" s="1562"/>
      <c r="AQ1026" s="1563"/>
      <c r="AR1026" s="68"/>
      <c r="AS1026" s="68"/>
      <c r="AT1026" s="68"/>
      <c r="AU1026" s="68"/>
      <c r="AV1026" s="68"/>
      <c r="AW1026" s="68"/>
      <c r="AX1026" s="68"/>
      <c r="AY1026" s="68"/>
    </row>
    <row r="1027" spans="1:51" ht="12.95" customHeight="1">
      <c r="A1027" s="14"/>
      <c r="B1027" s="85"/>
      <c r="C1027" s="84"/>
      <c r="D1027" s="1533"/>
      <c r="E1027" s="1534"/>
      <c r="F1027" s="1534"/>
      <c r="G1027" s="1534"/>
      <c r="H1027" s="1534"/>
      <c r="I1027" s="1534"/>
      <c r="J1027" s="1534"/>
      <c r="K1027" s="1534"/>
      <c r="L1027" s="1534"/>
      <c r="M1027" s="1534"/>
      <c r="N1027" s="1534"/>
      <c r="O1027" s="1534"/>
      <c r="P1027" s="1534"/>
      <c r="Q1027" s="1534"/>
      <c r="R1027" s="1534"/>
      <c r="S1027" s="1534"/>
      <c r="T1027" s="1534"/>
      <c r="U1027" s="1534"/>
      <c r="V1027" s="1534"/>
      <c r="W1027" s="1534"/>
      <c r="X1027" s="1534"/>
      <c r="Y1027" s="1534"/>
      <c r="Z1027" s="1534"/>
      <c r="AA1027" s="1534"/>
      <c r="AB1027" s="1534"/>
      <c r="AC1027" s="1534"/>
      <c r="AD1027" s="1534"/>
      <c r="AE1027" s="1535"/>
      <c r="AF1027" s="1539"/>
      <c r="AG1027" s="1539"/>
      <c r="AH1027" s="1539"/>
      <c r="AI1027" s="1539"/>
      <c r="AJ1027" s="1564"/>
      <c r="AK1027" s="1565"/>
      <c r="AL1027" s="1565"/>
      <c r="AM1027" s="1565"/>
      <c r="AN1027" s="1565"/>
      <c r="AO1027" s="1565"/>
      <c r="AP1027" s="1565"/>
      <c r="AQ1027" s="1566"/>
      <c r="AR1027" s="68"/>
      <c r="AS1027" s="68"/>
      <c r="AT1027" s="68"/>
      <c r="AU1027" s="68"/>
      <c r="AV1027" s="68"/>
      <c r="AW1027" s="68"/>
      <c r="AX1027" s="68"/>
      <c r="AY1027" s="68"/>
    </row>
    <row r="1028" spans="1:51" ht="12.95" customHeight="1">
      <c r="A1028" s="14"/>
      <c r="B1028" s="79"/>
      <c r="C1028" s="80" t="s">
        <v>235</v>
      </c>
      <c r="D1028" s="1530" t="s">
        <v>1407</v>
      </c>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2"/>
      <c r="AF1028" s="79"/>
      <c r="AG1028" s="1528" t="s">
        <v>678</v>
      </c>
      <c r="AH1028" s="1529"/>
      <c r="AI1028" s="87"/>
      <c r="AJ1028" s="1558">
        <f>ROUND(IF(AG1028="yes",(AJ991*0.1),0),0)</f>
        <v>0</v>
      </c>
      <c r="AK1028" s="1559"/>
      <c r="AL1028" s="1559"/>
      <c r="AM1028" s="1559"/>
      <c r="AN1028" s="1559"/>
      <c r="AO1028" s="1559"/>
      <c r="AP1028" s="1559"/>
      <c r="AQ1028" s="1560"/>
      <c r="AR1028" s="68"/>
      <c r="AS1028" s="68"/>
      <c r="AT1028" s="68"/>
      <c r="AU1028" s="68"/>
      <c r="AV1028" s="68"/>
      <c r="AW1028" s="68"/>
      <c r="AX1028" s="68"/>
      <c r="AY1028" s="68"/>
    </row>
    <row r="1029" spans="1:51" ht="12.95" customHeight="1">
      <c r="A1029" s="14"/>
      <c r="B1029" s="73"/>
      <c r="C1029" s="74"/>
      <c r="D1029" s="1508" t="s">
        <v>1408</v>
      </c>
      <c r="E1029" s="1509"/>
      <c r="F1029" s="1509"/>
      <c r="G1029" s="1509"/>
      <c r="H1029" s="1509"/>
      <c r="I1029" s="1509"/>
      <c r="J1029" s="1509"/>
      <c r="K1029" s="1509"/>
      <c r="L1029" s="1509"/>
      <c r="M1029" s="1509"/>
      <c r="N1029" s="1509"/>
      <c r="O1029" s="1509"/>
      <c r="P1029" s="1509"/>
      <c r="Q1029" s="1509"/>
      <c r="R1029" s="1509"/>
      <c r="S1029" s="1509"/>
      <c r="T1029" s="1509"/>
      <c r="U1029" s="1509"/>
      <c r="V1029" s="1509"/>
      <c r="W1029" s="1509"/>
      <c r="X1029" s="1509"/>
      <c r="Y1029" s="1509"/>
      <c r="Z1029" s="1509"/>
      <c r="AA1029" s="1509"/>
      <c r="AB1029" s="1509"/>
      <c r="AC1029" s="1509"/>
      <c r="AD1029" s="1509"/>
      <c r="AE1029" s="1510"/>
      <c r="AF1029" s="73"/>
      <c r="AG1029" s="14"/>
      <c r="AH1029" s="14"/>
      <c r="AI1029" s="83"/>
      <c r="AJ1029" s="1561"/>
      <c r="AK1029" s="1562"/>
      <c r="AL1029" s="1562"/>
      <c r="AM1029" s="1562"/>
      <c r="AN1029" s="1562"/>
      <c r="AO1029" s="1562"/>
      <c r="AP1029" s="1562"/>
      <c r="AQ1029" s="1563"/>
      <c r="AR1029" s="68"/>
      <c r="AS1029" s="68"/>
      <c r="AT1029" s="68"/>
      <c r="AU1029" s="68"/>
      <c r="AV1029" s="68"/>
      <c r="AW1029" s="68"/>
      <c r="AX1029" s="68"/>
      <c r="AY1029" s="68"/>
    </row>
    <row r="1030" spans="1:51" ht="12.95" customHeight="1">
      <c r="A1030" s="14"/>
      <c r="B1030" s="77"/>
      <c r="C1030" s="74"/>
      <c r="D1030" s="1533"/>
      <c r="E1030" s="1534"/>
      <c r="F1030" s="1534"/>
      <c r="G1030" s="1534"/>
      <c r="H1030" s="1534"/>
      <c r="I1030" s="1534"/>
      <c r="J1030" s="1534"/>
      <c r="K1030" s="1534"/>
      <c r="L1030" s="1534"/>
      <c r="M1030" s="1534"/>
      <c r="N1030" s="1534"/>
      <c r="O1030" s="1534"/>
      <c r="P1030" s="1534"/>
      <c r="Q1030" s="1534"/>
      <c r="R1030" s="1534"/>
      <c r="S1030" s="1534"/>
      <c r="T1030" s="1534"/>
      <c r="U1030" s="1534"/>
      <c r="V1030" s="1534"/>
      <c r="W1030" s="1534"/>
      <c r="X1030" s="1534"/>
      <c r="Y1030" s="1534"/>
      <c r="Z1030" s="1534"/>
      <c r="AA1030" s="1534"/>
      <c r="AB1030" s="1534"/>
      <c r="AC1030" s="1534"/>
      <c r="AD1030" s="1534"/>
      <c r="AE1030" s="1535"/>
      <c r="AF1030" s="73"/>
      <c r="AG1030" s="14"/>
      <c r="AH1030" s="14"/>
      <c r="AI1030" s="83"/>
      <c r="AJ1030" s="1564"/>
      <c r="AK1030" s="1565"/>
      <c r="AL1030" s="1565"/>
      <c r="AM1030" s="1565"/>
      <c r="AN1030" s="1565"/>
      <c r="AO1030" s="1565"/>
      <c r="AP1030" s="1565"/>
      <c r="AQ1030" s="1566"/>
      <c r="AR1030" s="68"/>
      <c r="AS1030" s="68"/>
      <c r="AT1030" s="68"/>
      <c r="AU1030" s="68"/>
      <c r="AV1030" s="68"/>
      <c r="AW1030" s="68"/>
      <c r="AX1030" s="68"/>
      <c r="AY1030" s="68"/>
    </row>
    <row r="1031" spans="1:51" ht="12.95" customHeight="1">
      <c r="A1031" s="14"/>
      <c r="B1031" s="73"/>
      <c r="C1031" s="367" t="s">
        <v>697</v>
      </c>
      <c r="D1031" s="1520" t="s">
        <v>1877</v>
      </c>
      <c r="E1031" s="1521"/>
      <c r="F1031" s="1521"/>
      <c r="G1031" s="1521"/>
      <c r="H1031" s="1521"/>
      <c r="I1031" s="1521"/>
      <c r="J1031" s="1521"/>
      <c r="K1031" s="1521"/>
      <c r="L1031" s="1521"/>
      <c r="M1031" s="1521"/>
      <c r="N1031" s="1521"/>
      <c r="O1031" s="1521"/>
      <c r="P1031" s="1521"/>
      <c r="Q1031" s="1521"/>
      <c r="R1031" s="1521"/>
      <c r="S1031" s="1521"/>
      <c r="T1031" s="1521"/>
      <c r="U1031" s="1521"/>
      <c r="V1031" s="1521"/>
      <c r="W1031" s="1521"/>
      <c r="X1031" s="1521"/>
      <c r="Y1031" s="1521"/>
      <c r="Z1031" s="1521"/>
      <c r="AA1031" s="1521"/>
      <c r="AB1031" s="1521"/>
      <c r="AC1031" s="1521"/>
      <c r="AD1031" s="1521"/>
      <c r="AE1031" s="1522"/>
      <c r="AF1031" s="79"/>
      <c r="AG1031" s="1528" t="s">
        <v>678</v>
      </c>
      <c r="AH1031" s="1529"/>
      <c r="AI1031" s="87"/>
      <c r="AJ1031" s="1558">
        <f>ROUND(IF(AG1031="yes",(AJ991*0.15),0),0)</f>
        <v>0</v>
      </c>
      <c r="AK1031" s="1559"/>
      <c r="AL1031" s="1559"/>
      <c r="AM1031" s="1559"/>
      <c r="AN1031" s="1559"/>
      <c r="AO1031" s="1559"/>
      <c r="AP1031" s="1559"/>
      <c r="AQ1031" s="1560"/>
      <c r="AR1031" s="68"/>
      <c r="AS1031" s="68"/>
      <c r="AT1031" s="68"/>
      <c r="AU1031" s="68"/>
      <c r="AV1031" s="68"/>
      <c r="AW1031" s="68"/>
      <c r="AX1031" s="68"/>
      <c r="AY1031" s="68"/>
    </row>
    <row r="1032" spans="1:51" ht="12.95" customHeight="1">
      <c r="A1032" s="14"/>
      <c r="B1032" s="73"/>
      <c r="C1032" s="74"/>
      <c r="D1032" s="1567"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8"/>
      <c r="AF1032" s="950"/>
      <c r="AG1032" s="951"/>
      <c r="AH1032" s="951"/>
      <c r="AI1032" s="952"/>
      <c r="AJ1032" s="1561"/>
      <c r="AK1032" s="1562"/>
      <c r="AL1032" s="1562"/>
      <c r="AM1032" s="1562"/>
      <c r="AN1032" s="1562"/>
      <c r="AO1032" s="1562"/>
      <c r="AP1032" s="1562"/>
      <c r="AQ1032" s="1563"/>
      <c r="AR1032" s="68"/>
      <c r="AS1032" s="68"/>
      <c r="AT1032" s="68"/>
      <c r="AU1032" s="68"/>
      <c r="AV1032" s="68"/>
      <c r="AW1032" s="68"/>
      <c r="AX1032" s="68"/>
      <c r="AY1032" s="68"/>
    </row>
    <row r="1033" spans="1:51" ht="12.95" customHeight="1">
      <c r="A1033" s="14"/>
      <c r="B1033" s="73"/>
      <c r="C1033" s="74"/>
      <c r="D1033" s="156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8"/>
      <c r="AF1033" s="950"/>
      <c r="AG1033" s="951"/>
      <c r="AH1033" s="951"/>
      <c r="AI1033" s="952"/>
      <c r="AJ1033" s="1561"/>
      <c r="AK1033" s="1562"/>
      <c r="AL1033" s="1562"/>
      <c r="AM1033" s="1562"/>
      <c r="AN1033" s="1562"/>
      <c r="AO1033" s="1562"/>
      <c r="AP1033" s="1562"/>
      <c r="AQ1033" s="1563"/>
      <c r="AR1033" s="68"/>
      <c r="AS1033" s="68"/>
      <c r="AT1033" s="68"/>
      <c r="AU1033" s="68"/>
      <c r="AV1033" s="68"/>
      <c r="AW1033" s="68"/>
      <c r="AX1033" s="68"/>
      <c r="AY1033" s="68"/>
    </row>
    <row r="1034" spans="1:51" ht="12.95" customHeight="1">
      <c r="A1034" s="14"/>
      <c r="B1034" s="73"/>
      <c r="C1034" s="74"/>
      <c r="D1034" s="1569"/>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953"/>
      <c r="AG1034" s="954"/>
      <c r="AH1034" s="954"/>
      <c r="AI1034" s="955"/>
      <c r="AJ1034" s="1564"/>
      <c r="AK1034" s="1565"/>
      <c r="AL1034" s="1565"/>
      <c r="AM1034" s="1565"/>
      <c r="AN1034" s="1565"/>
      <c r="AO1034" s="1565"/>
      <c r="AP1034" s="1565"/>
      <c r="AQ1034" s="1566"/>
      <c r="AR1034" s="68"/>
      <c r="AS1034" s="68"/>
      <c r="AT1034" s="68"/>
      <c r="AU1034" s="68"/>
      <c r="AV1034" s="68"/>
      <c r="AW1034" s="68"/>
      <c r="AX1034" s="68"/>
      <c r="AY1034" s="68"/>
    </row>
    <row r="1035" spans="1:51" ht="12.95" customHeight="1">
      <c r="A1035" s="14"/>
      <c r="B1035" s="73"/>
      <c r="C1035" s="367" t="s">
        <v>697</v>
      </c>
      <c r="D1035" s="1530" t="s">
        <v>1879</v>
      </c>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73"/>
      <c r="AG1035" s="1730" t="s">
        <v>678</v>
      </c>
      <c r="AH1035" s="1731"/>
      <c r="AI1035" s="83"/>
      <c r="AJ1035" s="1558">
        <f>ROUND(IF(AND(AG1035="yes",AJ1031=0),(AJ991*0.1),0),0)</f>
        <v>0</v>
      </c>
      <c r="AK1035" s="1559"/>
      <c r="AL1035" s="1559"/>
      <c r="AM1035" s="1559"/>
      <c r="AN1035" s="1559"/>
      <c r="AO1035" s="1559"/>
      <c r="AP1035" s="1559"/>
      <c r="AQ1035" s="1560"/>
      <c r="AR1035" s="68"/>
      <c r="AS1035" s="68"/>
      <c r="AT1035" s="68"/>
      <c r="AU1035" s="68"/>
      <c r="AV1035" s="68"/>
      <c r="AW1035" s="68"/>
      <c r="AX1035" s="68"/>
      <c r="AY1035" s="68"/>
    </row>
    <row r="1036" spans="1:51" ht="12.95" customHeight="1">
      <c r="A1036" s="14"/>
      <c r="B1036" s="73"/>
      <c r="C1036" s="74"/>
      <c r="D1036" s="1567"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8"/>
      <c r="AF1036" s="73"/>
      <c r="AG1036" s="14"/>
      <c r="AH1036" s="14"/>
      <c r="AI1036" s="83"/>
      <c r="AJ1036" s="1561"/>
      <c r="AK1036" s="1562"/>
      <c r="AL1036" s="1562"/>
      <c r="AM1036" s="1562"/>
      <c r="AN1036" s="1562"/>
      <c r="AO1036" s="1562"/>
      <c r="AP1036" s="1562"/>
      <c r="AQ1036" s="1563"/>
      <c r="AR1036" s="68"/>
      <c r="AS1036" s="68"/>
      <c r="AT1036" s="68"/>
      <c r="AU1036" s="68"/>
      <c r="AV1036" s="68"/>
      <c r="AW1036" s="68"/>
      <c r="AX1036" s="68"/>
      <c r="AY1036" s="68"/>
    </row>
    <row r="1037" spans="1:51" ht="12.95" customHeight="1">
      <c r="A1037" s="14"/>
      <c r="B1037" s="73"/>
      <c r="C1037" s="74"/>
      <c r="D1037" s="156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8"/>
      <c r="AF1037" s="73"/>
      <c r="AG1037" s="14"/>
      <c r="AH1037" s="14"/>
      <c r="AI1037" s="83"/>
      <c r="AJ1037" s="1561"/>
      <c r="AK1037" s="1562"/>
      <c r="AL1037" s="1562"/>
      <c r="AM1037" s="1562"/>
      <c r="AN1037" s="1562"/>
      <c r="AO1037" s="1562"/>
      <c r="AP1037" s="1562"/>
      <c r="AQ1037" s="1563"/>
      <c r="AR1037" s="68"/>
      <c r="AS1037" s="68"/>
      <c r="AT1037" s="68"/>
      <c r="AU1037" s="68"/>
      <c r="AV1037" s="68"/>
      <c r="AW1037" s="68"/>
      <c r="AX1037" s="68"/>
      <c r="AY1037" s="68"/>
    </row>
    <row r="1038" spans="1:51" ht="12.95" customHeight="1">
      <c r="A1038" s="14"/>
      <c r="B1038" s="73"/>
      <c r="C1038" s="74"/>
      <c r="D1038" s="156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8"/>
      <c r="AF1038" s="73"/>
      <c r="AG1038" s="14"/>
      <c r="AH1038" s="14"/>
      <c r="AI1038" s="83"/>
      <c r="AJ1038" s="1561"/>
      <c r="AK1038" s="1562"/>
      <c r="AL1038" s="1562"/>
      <c r="AM1038" s="1562"/>
      <c r="AN1038" s="1562"/>
      <c r="AO1038" s="1562"/>
      <c r="AP1038" s="1562"/>
      <c r="AQ1038" s="1563"/>
      <c r="AR1038" s="68"/>
      <c r="AS1038" s="68"/>
      <c r="AT1038" s="68"/>
      <c r="AU1038" s="68"/>
      <c r="AV1038" s="68"/>
      <c r="AW1038" s="68"/>
      <c r="AX1038" s="68"/>
      <c r="AY1038" s="68"/>
    </row>
    <row r="1039" spans="1:51" ht="12.95" customHeight="1">
      <c r="A1039" s="14"/>
      <c r="B1039" s="73"/>
      <c r="C1039" s="74"/>
      <c r="D1039" s="1569"/>
      <c r="E1039" s="1570"/>
      <c r="F1039" s="1570"/>
      <c r="G1039" s="1570"/>
      <c r="H1039" s="1570"/>
      <c r="I1039" s="1570"/>
      <c r="J1039" s="1570"/>
      <c r="K1039" s="1570"/>
      <c r="L1039" s="1570"/>
      <c r="M1039" s="1570"/>
      <c r="N1039" s="1570"/>
      <c r="O1039" s="1570"/>
      <c r="P1039" s="1570"/>
      <c r="Q1039" s="1570"/>
      <c r="R1039" s="1570"/>
      <c r="S1039" s="1570"/>
      <c r="T1039" s="1570"/>
      <c r="U1039" s="1570"/>
      <c r="V1039" s="1570"/>
      <c r="W1039" s="1570"/>
      <c r="X1039" s="1570"/>
      <c r="Y1039" s="1570"/>
      <c r="Z1039" s="1570"/>
      <c r="AA1039" s="1570"/>
      <c r="AB1039" s="1570"/>
      <c r="AC1039" s="1570"/>
      <c r="AD1039" s="1570"/>
      <c r="AE1039" s="1571"/>
      <c r="AF1039" s="73"/>
      <c r="AG1039" s="14"/>
      <c r="AH1039" s="14"/>
      <c r="AI1039" s="83"/>
      <c r="AJ1039" s="1561"/>
      <c r="AK1039" s="1562"/>
      <c r="AL1039" s="1562"/>
      <c r="AM1039" s="1562"/>
      <c r="AN1039" s="1562"/>
      <c r="AO1039" s="1562"/>
      <c r="AP1039" s="1562"/>
      <c r="AQ1039" s="1563"/>
      <c r="AR1039" s="68"/>
      <c r="AS1039" s="68"/>
      <c r="AT1039" s="68"/>
      <c r="AU1039" s="68"/>
      <c r="AV1039" s="68"/>
      <c r="AW1039" s="68"/>
      <c r="AX1039" s="68"/>
      <c r="AY1039" s="68"/>
    </row>
    <row r="1040" spans="1:51" ht="12.95" customHeight="1">
      <c r="A1040" s="14"/>
      <c r="B1040" s="79"/>
      <c r="C1040" s="131" t="s">
        <v>1035</v>
      </c>
      <c r="D1040" s="1520" t="s">
        <v>1409</v>
      </c>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9"/>
      <c r="AG1040" s="1528" t="s">
        <v>678</v>
      </c>
      <c r="AH1040" s="1529"/>
      <c r="AI1040" s="87"/>
      <c r="AJ1040" s="1558">
        <f>ROUND(IF(AG1040="yes",(AJ991*0.1),0),0)</f>
        <v>0</v>
      </c>
      <c r="AK1040" s="1559"/>
      <c r="AL1040" s="1559"/>
      <c r="AM1040" s="1559"/>
      <c r="AN1040" s="1559"/>
      <c r="AO1040" s="1559"/>
      <c r="AP1040" s="1559"/>
      <c r="AQ1040" s="1560"/>
      <c r="AR1040" s="68"/>
      <c r="AS1040" s="68"/>
      <c r="AT1040" s="68"/>
      <c r="AU1040" s="68"/>
      <c r="AV1040" s="68"/>
      <c r="AW1040" s="68"/>
      <c r="AX1040" s="68"/>
      <c r="AY1040" s="68"/>
    </row>
    <row r="1041" spans="1:51" ht="12.95" customHeight="1">
      <c r="A1041" s="14"/>
      <c r="B1041" s="73"/>
      <c r="C1041" s="74"/>
      <c r="D1041" s="1508" t="s">
        <v>2499</v>
      </c>
      <c r="E1041" s="1509"/>
      <c r="F1041" s="1509"/>
      <c r="G1041" s="1509"/>
      <c r="H1041" s="1509"/>
      <c r="I1041" s="1509"/>
      <c r="J1041" s="1509"/>
      <c r="K1041" s="1509"/>
      <c r="L1041" s="1509"/>
      <c r="M1041" s="1509"/>
      <c r="N1041" s="1509"/>
      <c r="O1041" s="1509"/>
      <c r="P1041" s="1509"/>
      <c r="Q1041" s="1509"/>
      <c r="R1041" s="1509"/>
      <c r="S1041" s="1509"/>
      <c r="T1041" s="1509"/>
      <c r="U1041" s="1509"/>
      <c r="V1041" s="1509"/>
      <c r="W1041" s="1509"/>
      <c r="X1041" s="1509"/>
      <c r="Y1041" s="1509"/>
      <c r="Z1041" s="1509"/>
      <c r="AA1041" s="1509"/>
      <c r="AB1041" s="1509"/>
      <c r="AC1041" s="1509"/>
      <c r="AD1041" s="1509"/>
      <c r="AE1041" s="1510"/>
      <c r="AF1041" s="73"/>
      <c r="AG1041" s="14"/>
      <c r="AH1041" s="14"/>
      <c r="AI1041" s="83"/>
      <c r="AJ1041" s="1561"/>
      <c r="AK1041" s="1562"/>
      <c r="AL1041" s="1562"/>
      <c r="AM1041" s="1562"/>
      <c r="AN1041" s="1562"/>
      <c r="AO1041" s="1562"/>
      <c r="AP1041" s="1562"/>
      <c r="AQ1041" s="1563"/>
      <c r="AR1041" s="68"/>
      <c r="AS1041" s="68"/>
      <c r="AT1041" s="68"/>
      <c r="AU1041" s="68"/>
      <c r="AV1041" s="68"/>
      <c r="AW1041" s="68"/>
      <c r="AX1041" s="68"/>
      <c r="AY1041" s="68"/>
    </row>
    <row r="1042" spans="1:51" ht="12.95" customHeight="1">
      <c r="A1042" s="14"/>
      <c r="B1042" s="73"/>
      <c r="C1042" s="74"/>
      <c r="D1042" s="1508"/>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561"/>
      <c r="AK1042" s="1562"/>
      <c r="AL1042" s="1562"/>
      <c r="AM1042" s="1562"/>
      <c r="AN1042" s="1562"/>
      <c r="AO1042" s="1562"/>
      <c r="AP1042" s="1562"/>
      <c r="AQ1042" s="1563"/>
      <c r="AR1042" s="68"/>
      <c r="AS1042" s="68"/>
      <c r="AT1042" s="68"/>
      <c r="AU1042" s="68"/>
      <c r="AV1042" s="68"/>
      <c r="AW1042" s="68"/>
      <c r="AX1042" s="68"/>
      <c r="AY1042" s="68"/>
    </row>
    <row r="1043" spans="1:51" ht="12.95" customHeight="1">
      <c r="A1043" s="14"/>
      <c r="B1043" s="73"/>
      <c r="C1043" s="74"/>
      <c r="D1043" s="1533"/>
      <c r="E1043" s="1534"/>
      <c r="F1043" s="1534"/>
      <c r="G1043" s="1534"/>
      <c r="H1043" s="1534"/>
      <c r="I1043" s="1534"/>
      <c r="J1043" s="1534"/>
      <c r="K1043" s="1534"/>
      <c r="L1043" s="1534"/>
      <c r="M1043" s="1534"/>
      <c r="N1043" s="1534"/>
      <c r="O1043" s="1534"/>
      <c r="P1043" s="1534"/>
      <c r="Q1043" s="1534"/>
      <c r="R1043" s="1534"/>
      <c r="S1043" s="1534"/>
      <c r="T1043" s="1534"/>
      <c r="U1043" s="1534"/>
      <c r="V1043" s="1534"/>
      <c r="W1043" s="1534"/>
      <c r="X1043" s="1534"/>
      <c r="Y1043" s="1534"/>
      <c r="Z1043" s="1534"/>
      <c r="AA1043" s="1534"/>
      <c r="AB1043" s="1534"/>
      <c r="AC1043" s="1534"/>
      <c r="AD1043" s="1534"/>
      <c r="AE1043" s="1535"/>
      <c r="AF1043" s="73"/>
      <c r="AG1043" s="14"/>
      <c r="AH1043" s="14"/>
      <c r="AI1043" s="83"/>
      <c r="AJ1043" s="1564"/>
      <c r="AK1043" s="1565"/>
      <c r="AL1043" s="1565"/>
      <c r="AM1043" s="1565"/>
      <c r="AN1043" s="1565"/>
      <c r="AO1043" s="1565"/>
      <c r="AP1043" s="1565"/>
      <c r="AQ1043" s="1566"/>
      <c r="AR1043" s="68"/>
      <c r="AS1043" s="68"/>
      <c r="AT1043" s="68"/>
      <c r="AU1043" s="68"/>
      <c r="AV1043" s="68"/>
      <c r="AW1043" s="68"/>
      <c r="AX1043" s="68"/>
      <c r="AY1043" s="68"/>
    </row>
    <row r="1044" spans="1:51" ht="12.95" customHeight="1">
      <c r="A1044" s="14"/>
      <c r="B1044" s="79"/>
      <c r="C1044" s="131" t="s">
        <v>1875</v>
      </c>
      <c r="D1044" s="1530" t="s">
        <v>2057</v>
      </c>
      <c r="E1044" s="1531"/>
      <c r="F1044" s="1531"/>
      <c r="G1044" s="1531"/>
      <c r="H1044" s="1531"/>
      <c r="I1044" s="1531"/>
      <c r="J1044" s="1531"/>
      <c r="K1044" s="1531"/>
      <c r="L1044" s="1531"/>
      <c r="M1044" s="1531"/>
      <c r="N1044" s="1531"/>
      <c r="O1044" s="1531"/>
      <c r="P1044" s="1531"/>
      <c r="Q1044" s="1531"/>
      <c r="R1044" s="1531"/>
      <c r="S1044" s="1531"/>
      <c r="T1044" s="1531"/>
      <c r="U1044" s="1531"/>
      <c r="V1044" s="1531"/>
      <c r="W1044" s="1531"/>
      <c r="X1044" s="1531"/>
      <c r="Y1044" s="1531"/>
      <c r="Z1044" s="1531"/>
      <c r="AA1044" s="1531"/>
      <c r="AB1044" s="1531"/>
      <c r="AC1044" s="1531"/>
      <c r="AD1044" s="1531"/>
      <c r="AE1044" s="1532"/>
      <c r="AF1044" s="79"/>
      <c r="AG1044" s="1606" t="str">
        <f>IF(X1047&gt;0,"Yes","No")</f>
        <v>Yes</v>
      </c>
      <c r="AH1044" s="1607"/>
      <c r="AI1044" s="87"/>
      <c r="AJ1044" s="1558">
        <f>IF((X1047=0),0,AY1004*AJ991)</f>
        <v>41567827.400000006</v>
      </c>
      <c r="AK1044" s="1559"/>
      <c r="AL1044" s="1559"/>
      <c r="AM1044" s="1559"/>
      <c r="AN1044" s="1559"/>
      <c r="AO1044" s="1559"/>
      <c r="AP1044" s="1559"/>
      <c r="AQ1044" s="1560"/>
      <c r="AR1044" s="68"/>
      <c r="AS1044" s="68"/>
      <c r="AT1044" s="68"/>
      <c r="AU1044" s="68"/>
      <c r="AV1044" s="68"/>
      <c r="AW1044" s="68"/>
      <c r="AX1044" s="68"/>
      <c r="AY1044" s="68"/>
    </row>
    <row r="1045" spans="1:51" ht="12.95" customHeight="1">
      <c r="A1045" s="14"/>
      <c r="B1045" s="73"/>
      <c r="C1045" s="476"/>
      <c r="D1045" s="1508" t="s">
        <v>1411</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73"/>
      <c r="AG1045" s="477"/>
      <c r="AH1045" s="477"/>
      <c r="AI1045" s="83"/>
      <c r="AJ1045" s="1561"/>
      <c r="AK1045" s="1562"/>
      <c r="AL1045" s="1562"/>
      <c r="AM1045" s="1562"/>
      <c r="AN1045" s="1562"/>
      <c r="AO1045" s="1562"/>
      <c r="AP1045" s="1562"/>
      <c r="AQ1045" s="1563"/>
      <c r="AR1045" s="68"/>
      <c r="AS1045" s="68"/>
      <c r="AT1045" s="68"/>
      <c r="AU1045" s="13"/>
      <c r="AV1045" s="68"/>
      <c r="AW1045" s="68"/>
      <c r="AX1045" s="68"/>
      <c r="AY1045" s="68"/>
    </row>
    <row r="1046" spans="1:51" ht="12.95" customHeight="1">
      <c r="A1046" s="14"/>
      <c r="B1046" s="73"/>
      <c r="C1046" s="476"/>
      <c r="D1046" s="1508"/>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77"/>
      <c r="AH1046" s="477"/>
      <c r="AI1046" s="83"/>
      <c r="AJ1046" s="1561"/>
      <c r="AK1046" s="1562"/>
      <c r="AL1046" s="1562"/>
      <c r="AM1046" s="1562"/>
      <c r="AN1046" s="1562"/>
      <c r="AO1046" s="1562"/>
      <c r="AP1046" s="1562"/>
      <c r="AQ1046" s="1563"/>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04">
        <f>AY1002</f>
        <v>170</v>
      </c>
      <c r="J1047" s="1605"/>
      <c r="K1047" s="7"/>
      <c r="L1047" s="133"/>
      <c r="M1047" s="133"/>
      <c r="N1047" s="133"/>
      <c r="O1047" s="133"/>
      <c r="P1047" s="133"/>
      <c r="Q1047" s="133"/>
      <c r="R1047" s="133"/>
      <c r="S1047" s="133"/>
      <c r="T1047" s="133"/>
      <c r="U1047" s="133"/>
      <c r="V1047" s="134" t="s">
        <v>993</v>
      </c>
      <c r="W1047" s="48"/>
      <c r="X1047" s="1602">
        <f>BG632</f>
        <v>95</v>
      </c>
      <c r="Y1047" s="1603"/>
      <c r="Z1047" s="48"/>
      <c r="AA1047" s="48"/>
      <c r="AB1047" s="48"/>
      <c r="AC1047" s="48"/>
      <c r="AD1047" s="48"/>
      <c r="AE1047" s="49"/>
      <c r="AF1047" s="959"/>
      <c r="AG1047" s="960"/>
      <c r="AH1047" s="960"/>
      <c r="AI1047" s="961"/>
      <c r="AJ1047" s="1564"/>
      <c r="AK1047" s="1565"/>
      <c r="AL1047" s="1565"/>
      <c r="AM1047" s="1565"/>
      <c r="AN1047" s="1565"/>
      <c r="AO1047" s="1565"/>
      <c r="AP1047" s="1565"/>
      <c r="AQ1047" s="1566"/>
      <c r="AR1047" s="68"/>
      <c r="AS1047" s="68"/>
      <c r="AT1047" s="68"/>
      <c r="AU1047" s="14"/>
      <c r="AV1047" s="68"/>
      <c r="AW1047" s="68"/>
      <c r="AX1047" s="68"/>
      <c r="AY1047" s="68"/>
    </row>
    <row r="1048" spans="1:51" ht="12.95" customHeight="1">
      <c r="A1048" s="14"/>
      <c r="B1048" s="79"/>
      <c r="C1048" s="131" t="s">
        <v>1876</v>
      </c>
      <c r="D1048" s="1520" t="s">
        <v>2530</v>
      </c>
      <c r="E1048" s="1521"/>
      <c r="F1048" s="1521"/>
      <c r="G1048" s="1521"/>
      <c r="H1048" s="1521"/>
      <c r="I1048" s="1521"/>
      <c r="J1048" s="1521"/>
      <c r="K1048" s="1521"/>
      <c r="L1048" s="1521"/>
      <c r="M1048" s="1521"/>
      <c r="N1048" s="1521"/>
      <c r="O1048" s="1521"/>
      <c r="P1048" s="1521"/>
      <c r="Q1048" s="1521"/>
      <c r="R1048" s="1521"/>
      <c r="S1048" s="1521"/>
      <c r="T1048" s="1521"/>
      <c r="U1048" s="1521"/>
      <c r="V1048" s="1521"/>
      <c r="W1048" s="1521"/>
      <c r="X1048" s="1521"/>
      <c r="Y1048" s="1521"/>
      <c r="Z1048" s="1521"/>
      <c r="AA1048" s="1521"/>
      <c r="AB1048" s="1521"/>
      <c r="AC1048" s="1521"/>
      <c r="AD1048" s="1521"/>
      <c r="AE1048" s="1522"/>
      <c r="AF1048" s="73"/>
      <c r="AG1048" s="1606" t="str">
        <f>IF(X1051&gt;0,"Yes","No")</f>
        <v>Yes</v>
      </c>
      <c r="AH1048" s="1607"/>
      <c r="AI1048" s="83"/>
      <c r="AJ1048" s="1558">
        <f>IF((X1051=0),0,(2*AY1005)*AJ991)</f>
        <v>15115573.600000001</v>
      </c>
      <c r="AK1048" s="1559"/>
      <c r="AL1048" s="1559"/>
      <c r="AM1048" s="1559"/>
      <c r="AN1048" s="1559"/>
      <c r="AO1048" s="1559"/>
      <c r="AP1048" s="1559"/>
      <c r="AQ1048" s="1560"/>
      <c r="AR1048" s="68"/>
      <c r="AS1048" s="68"/>
      <c r="AT1048" s="68"/>
      <c r="AU1048" s="14"/>
      <c r="AV1048" s="68"/>
      <c r="AW1048" s="68"/>
      <c r="AX1048" s="68"/>
      <c r="AY1048" s="68"/>
    </row>
    <row r="1049" spans="1:51" ht="12.95" customHeight="1">
      <c r="A1049" s="14"/>
      <c r="B1049" s="73"/>
      <c r="C1049" s="476"/>
      <c r="D1049" s="1508" t="s">
        <v>1410</v>
      </c>
      <c r="E1049" s="1509"/>
      <c r="F1049" s="1509"/>
      <c r="G1049" s="1509"/>
      <c r="H1049" s="1509"/>
      <c r="I1049" s="1509"/>
      <c r="J1049" s="1509"/>
      <c r="K1049" s="1509"/>
      <c r="L1049" s="1509"/>
      <c r="M1049" s="1509"/>
      <c r="N1049" s="1509"/>
      <c r="O1049" s="1509"/>
      <c r="P1049" s="1509"/>
      <c r="Q1049" s="1509"/>
      <c r="R1049" s="1509"/>
      <c r="S1049" s="1509"/>
      <c r="T1049" s="1509"/>
      <c r="U1049" s="1509"/>
      <c r="V1049" s="1509"/>
      <c r="W1049" s="1509"/>
      <c r="X1049" s="1509"/>
      <c r="Y1049" s="1509"/>
      <c r="Z1049" s="1509"/>
      <c r="AA1049" s="1509"/>
      <c r="AB1049" s="1509"/>
      <c r="AC1049" s="1509"/>
      <c r="AD1049" s="1509"/>
      <c r="AE1049" s="1510"/>
      <c r="AF1049" s="73"/>
      <c r="AG1049" s="477"/>
      <c r="AH1049" s="477"/>
      <c r="AI1049" s="83"/>
      <c r="AJ1049" s="1561"/>
      <c r="AK1049" s="1562"/>
      <c r="AL1049" s="1562"/>
      <c r="AM1049" s="1562"/>
      <c r="AN1049" s="1562"/>
      <c r="AO1049" s="1562"/>
      <c r="AP1049" s="1562"/>
      <c r="AQ1049" s="1563"/>
      <c r="AR1049" s="68"/>
      <c r="AS1049" s="68"/>
      <c r="AT1049" s="68"/>
      <c r="AU1049" s="68"/>
      <c r="AV1049" s="68"/>
      <c r="AW1049" s="68"/>
      <c r="AX1049" s="68"/>
      <c r="AY1049" s="68"/>
    </row>
    <row r="1050" spans="1:51" ht="12.95" customHeight="1">
      <c r="A1050" s="14"/>
      <c r="B1050" s="73"/>
      <c r="C1050" s="83"/>
      <c r="D1050" s="1508"/>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956"/>
      <c r="AG1050" s="957"/>
      <c r="AH1050" s="957"/>
      <c r="AI1050" s="958"/>
      <c r="AJ1050" s="1561"/>
      <c r="AK1050" s="1562"/>
      <c r="AL1050" s="1562"/>
      <c r="AM1050" s="1562"/>
      <c r="AN1050" s="1562"/>
      <c r="AO1050" s="1562"/>
      <c r="AP1050" s="1562"/>
      <c r="AQ1050" s="1563"/>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04">
        <f>AY1002</f>
        <v>170</v>
      </c>
      <c r="J1051" s="1605"/>
      <c r="K1051" s="14"/>
      <c r="L1051" s="133"/>
      <c r="M1051" s="133"/>
      <c r="N1051" s="133"/>
      <c r="O1051" s="133"/>
      <c r="P1051" s="133"/>
      <c r="Q1051" s="133"/>
      <c r="R1051" s="133"/>
      <c r="S1051" s="133"/>
      <c r="T1051" s="133"/>
      <c r="U1051" s="133"/>
      <c r="V1051" s="134" t="s">
        <v>994</v>
      </c>
      <c r="X1051" s="1602">
        <f>BK632</f>
        <v>18</v>
      </c>
      <c r="Y1051" s="1603"/>
      <c r="AF1051" s="959"/>
      <c r="AG1051" s="960"/>
      <c r="AH1051" s="960"/>
      <c r="AI1051" s="961"/>
      <c r="AJ1051" s="1564"/>
      <c r="AK1051" s="1565"/>
      <c r="AL1051" s="1565"/>
      <c r="AM1051" s="1565"/>
      <c r="AN1051" s="1565"/>
      <c r="AO1051" s="1565"/>
      <c r="AP1051" s="1565"/>
      <c r="AQ1051" s="1566"/>
      <c r="AR1051" s="68"/>
      <c r="AS1051" s="68"/>
      <c r="AT1051" s="68"/>
      <c r="AU1051" s="68"/>
      <c r="AV1051" s="68"/>
      <c r="AW1051" s="68"/>
      <c r="AX1051" s="68"/>
      <c r="AY1051" s="68"/>
    </row>
    <row r="1052" spans="1:51" ht="12.95" customHeight="1">
      <c r="A1052" s="14"/>
      <c r="B1052" s="102"/>
      <c r="C1052" s="103"/>
      <c r="D1052" s="1600" t="s">
        <v>522</v>
      </c>
      <c r="E1052" s="1600"/>
      <c r="F1052" s="1600"/>
      <c r="G1052" s="1600"/>
      <c r="H1052" s="1600"/>
      <c r="I1052" s="1600"/>
      <c r="J1052" s="1600"/>
      <c r="K1052" s="1600"/>
      <c r="L1052" s="1600"/>
      <c r="M1052" s="1600"/>
      <c r="N1052" s="1600"/>
      <c r="O1052" s="1600"/>
      <c r="P1052" s="1600"/>
      <c r="Q1052" s="1600"/>
      <c r="R1052" s="1600"/>
      <c r="S1052" s="1600"/>
      <c r="T1052" s="1600"/>
      <c r="U1052" s="1600"/>
      <c r="V1052" s="1600"/>
      <c r="W1052" s="1600"/>
      <c r="X1052" s="1600"/>
      <c r="Y1052" s="1600"/>
      <c r="Z1052" s="1600"/>
      <c r="AA1052" s="1600"/>
      <c r="AB1052" s="1600"/>
      <c r="AC1052" s="1600"/>
      <c r="AD1052" s="1600"/>
      <c r="AE1052" s="1600"/>
      <c r="AF1052" s="1600"/>
      <c r="AG1052" s="1600"/>
      <c r="AH1052" s="1600"/>
      <c r="AI1052" s="1601"/>
      <c r="AJ1052" s="1719">
        <f>SUM(AJ991:AQ1051)</f>
        <v>151486132</v>
      </c>
      <c r="AK1052" s="1720"/>
      <c r="AL1052" s="1720"/>
      <c r="AM1052" s="1720"/>
      <c r="AN1052" s="1720"/>
      <c r="AO1052" s="1720"/>
      <c r="AP1052" s="1720"/>
      <c r="AQ1052" s="172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3">
        <f>IF(ISNA(IF((AJ1019&gt;(AJ991*0.15)),"(f) cannot be greater than 15% of unadjusted eligible basis.",0)),"",(IF((AJ1019&gt;(AJ991*0.15)),"(f) cannot be greater than 15% of unadjusted eligible basis.",0)))</f>
        <v>0</v>
      </c>
      <c r="C1059" s="1433"/>
      <c r="D1059" s="1433"/>
      <c r="E1059" s="1433"/>
      <c r="F1059" s="1433"/>
      <c r="G1059" s="1433"/>
      <c r="H1059" s="1433"/>
      <c r="I1059" s="1433"/>
      <c r="J1059" s="1433"/>
      <c r="K1059" s="1433"/>
      <c r="L1059" s="1433"/>
      <c r="M1059" s="1433"/>
      <c r="N1059" s="1433"/>
      <c r="O1059" s="1433"/>
      <c r="P1059" s="1433"/>
      <c r="Q1059" s="1433"/>
      <c r="R1059" s="1433"/>
      <c r="S1059" s="1433"/>
      <c r="T1059" s="1433"/>
      <c r="U1059" s="1433"/>
      <c r="V1059" s="1433"/>
      <c r="W1059" s="1433"/>
      <c r="X1059" s="1433"/>
      <c r="Y1059" s="1433"/>
      <c r="Z1059" s="1433"/>
      <c r="AA1059" s="1433"/>
      <c r="AB1059" s="1433"/>
      <c r="AC1059" s="1433"/>
      <c r="AD1059" s="1433"/>
      <c r="AE1059" s="1433"/>
      <c r="AF1059" s="1433"/>
      <c r="AG1059" s="1433"/>
      <c r="AH1059" s="1433"/>
      <c r="AI1059" s="1433"/>
      <c r="AJ1059" s="1433"/>
      <c r="AK1059" s="1433"/>
      <c r="AL1059" s="1433"/>
      <c r="AM1059" s="1433"/>
      <c r="AN1059" s="1433"/>
      <c r="AO1059" s="1433"/>
      <c r="AP1059" s="1433"/>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5" t="s">
        <v>600</v>
      </c>
      <c r="B1064" s="1405"/>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5" t="s">
        <v>600</v>
      </c>
      <c r="B1070" s="1405"/>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5" t="s">
        <v>600</v>
      </c>
      <c r="B1076" s="1405"/>
      <c r="C1076" s="8">
        <v>3</v>
      </c>
      <c r="D1076" s="1268" t="s">
        <v>2454</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5" t="s">
        <v>600</v>
      </c>
      <c r="B1083" s="1405"/>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5" t="s">
        <v>600</v>
      </c>
      <c r="B1086" s="1405"/>
      <c r="C1086" s="8">
        <v>5</v>
      </c>
      <c r="D1086" s="1268" t="s">
        <v>2455</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5" t="s">
        <v>600</v>
      </c>
      <c r="B1091" s="1405"/>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5" t="s">
        <v>600</v>
      </c>
      <c r="B1094" s="1405"/>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5" t="s">
        <v>600</v>
      </c>
      <c r="B1098" s="1405"/>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5" t="s">
        <v>600</v>
      </c>
      <c r="B1103" s="1405"/>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G721:J721"/>
    <mergeCell ref="G722:J722"/>
    <mergeCell ref="O714:S717"/>
    <mergeCell ref="T720:W72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725:F725"/>
    <mergeCell ref="B724:F724"/>
    <mergeCell ref="B728:F728"/>
    <mergeCell ref="X728:AB728"/>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C505:AF505"/>
    <mergeCell ref="W467:Y467"/>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O526:AA526"/>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A327:AK327"/>
    <mergeCell ref="H332:M332"/>
    <mergeCell ref="AI315:AK315"/>
    <mergeCell ref="AA312:AK312"/>
    <mergeCell ref="AA329:AK329"/>
    <mergeCell ref="P331:R331"/>
    <mergeCell ref="AA324:AF324"/>
    <mergeCell ref="H328:R328"/>
    <mergeCell ref="J387:U387"/>
    <mergeCell ref="D442:AF442"/>
    <mergeCell ref="D406:AJ407"/>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AM557:AS557"/>
    <mergeCell ref="AE557:AH557"/>
    <mergeCell ref="AC524:AF524"/>
    <mergeCell ref="AH516:AK516"/>
    <mergeCell ref="AH524:AK524"/>
    <mergeCell ref="AH525:AK525"/>
    <mergeCell ref="AH529:AK529"/>
    <mergeCell ref="AH534:AK534"/>
    <mergeCell ref="AH521:AK521"/>
    <mergeCell ref="AC530:AF530"/>
    <mergeCell ref="AH522:AK522"/>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Q558:S558"/>
    <mergeCell ref="T557:V557"/>
    <mergeCell ref="Q554:S554"/>
    <mergeCell ref="W470:Y470"/>
    <mergeCell ref="D471:V471"/>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BS623:BW623"/>
    <mergeCell ref="BX623:CB623"/>
    <mergeCell ref="BE629:BF629"/>
    <mergeCell ref="BG629:BH629"/>
    <mergeCell ref="BI629:BJ629"/>
    <mergeCell ref="BK629:BL629"/>
    <mergeCell ref="BE626:BF626"/>
    <mergeCell ref="BG626:BH626"/>
    <mergeCell ref="BI626:BJ626"/>
    <mergeCell ref="BK626:BL626"/>
    <mergeCell ref="BN621:BR621"/>
    <mergeCell ref="BS621:BW621"/>
    <mergeCell ref="BX621:CB621"/>
    <mergeCell ref="BE624:BF624"/>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09:CB609"/>
    <mergeCell ref="BE612:BF612"/>
    <mergeCell ref="BX611:CB611"/>
    <mergeCell ref="BX614:CB614"/>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C606:CG606"/>
    <mergeCell ref="BX604:CB604"/>
    <mergeCell ref="CC601:CG601"/>
    <mergeCell ref="BN601:BR601"/>
    <mergeCell ref="BE607:BF607"/>
    <mergeCell ref="BE608:BF608"/>
    <mergeCell ref="BE610:BF610"/>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BK598:BL598"/>
    <mergeCell ref="BG598:BH598"/>
    <mergeCell ref="AI605:AK605"/>
    <mergeCell ref="BN597:BR597"/>
    <mergeCell ref="BG597:BH597"/>
    <mergeCell ref="BI597:BJ597"/>
    <mergeCell ref="BK596:BL596"/>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AG393:AJ393"/>
    <mergeCell ref="AG391:AJ391"/>
    <mergeCell ref="K404:AJ404"/>
    <mergeCell ref="AC386:AJ386"/>
    <mergeCell ref="Q393:U393"/>
    <mergeCell ref="AG380:AH380"/>
    <mergeCell ref="AA333:AK333"/>
    <mergeCell ref="S489:AK490"/>
    <mergeCell ref="AC531:AF531"/>
    <mergeCell ref="AH500:AK500"/>
    <mergeCell ref="AH503:AK503"/>
    <mergeCell ref="S401:U40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H339:M339"/>
    <mergeCell ref="AG439:AJ439"/>
    <mergeCell ref="AG443:AJ44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AE561:AH561"/>
    <mergeCell ref="M555:P555"/>
    <mergeCell ref="C556:L556"/>
    <mergeCell ref="M556:P556"/>
    <mergeCell ref="AC500:AF500"/>
    <mergeCell ref="Q485:AK485"/>
    <mergeCell ref="M356:N356"/>
    <mergeCell ref="G474:V474"/>
    <mergeCell ref="W474:Y474"/>
    <mergeCell ref="AC508:AF508"/>
    <mergeCell ref="Z557:AD557"/>
    <mergeCell ref="AC528:AF528"/>
    <mergeCell ref="D473:V473"/>
    <mergeCell ref="AC504:AF504"/>
    <mergeCell ref="AH542:AK54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I613:AK613"/>
    <mergeCell ref="Q564:S564"/>
    <mergeCell ref="AC538:AF538"/>
    <mergeCell ref="M561:P561"/>
    <mergeCell ref="AC540:AF540"/>
    <mergeCell ref="N575:O575"/>
    <mergeCell ref="G569:R569"/>
    <mergeCell ref="H582:R582"/>
    <mergeCell ref="AC542:AF542"/>
    <mergeCell ref="AI557:AL557"/>
    <mergeCell ref="Q562:S562"/>
    <mergeCell ref="AC533:AF533"/>
    <mergeCell ref="Z555:AD555"/>
    <mergeCell ref="AC509:AF509"/>
    <mergeCell ref="AC525:AF525"/>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T722:W722"/>
    <mergeCell ref="N649:O649"/>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N655:BR655"/>
    <mergeCell ref="BN629:BR629"/>
    <mergeCell ref="Z633:AB633"/>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N624:BR624"/>
    <mergeCell ref="BS624:BW624"/>
    <mergeCell ref="BI619:BJ619"/>
    <mergeCell ref="CC626:CG626"/>
    <mergeCell ref="BX619:CB619"/>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E556:AH556"/>
    <mergeCell ref="M557:P557"/>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U825:X825"/>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DC647:DG647"/>
    <mergeCell ref="DC632:DG632"/>
    <mergeCell ref="DH632:DL632"/>
    <mergeCell ref="CM619:CQ619"/>
    <mergeCell ref="CH619:CL619"/>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CS620:CW620"/>
    <mergeCell ref="CX620:DB620"/>
    <mergeCell ref="CS624:CW624"/>
    <mergeCell ref="CM638:CQ638"/>
    <mergeCell ref="CX631:DB631"/>
    <mergeCell ref="CH627:CL627"/>
    <mergeCell ref="CH618:CL618"/>
    <mergeCell ref="BS640:BW640"/>
    <mergeCell ref="BS629:BW629"/>
    <mergeCell ref="BX629:CB629"/>
    <mergeCell ref="BX639:CB639"/>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DR617:DV617"/>
    <mergeCell ref="CS617:CW617"/>
    <mergeCell ref="CX617:DB61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DC651:DG651"/>
    <mergeCell ref="DH648:DL648"/>
    <mergeCell ref="DM648:DQ648"/>
    <mergeCell ref="DR648:DV648"/>
    <mergeCell ref="CS654:CW654"/>
    <mergeCell ref="CX654:DB654"/>
    <mergeCell ref="DC654:DG654"/>
    <mergeCell ref="BS653:BW653"/>
    <mergeCell ref="BN651:BR651"/>
    <mergeCell ref="DC653:DG653"/>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BN649:BR649"/>
    <mergeCell ref="BN648:BR648"/>
    <mergeCell ref="CS649:CW649"/>
    <mergeCell ref="BN650:BR650"/>
    <mergeCell ref="CM633:CQ633"/>
    <mergeCell ref="CC632:CG632"/>
    <mergeCell ref="CM632:CQ632"/>
    <mergeCell ref="CS632:CW632"/>
    <mergeCell ref="BS645:BW645"/>
    <mergeCell ref="BX640:CB640"/>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AH728:AJ728"/>
    <mergeCell ref="DC650:DG650"/>
    <mergeCell ref="AI663:AK663"/>
    <mergeCell ref="Z661:AK661"/>
    <mergeCell ref="X720:AB720"/>
    <mergeCell ref="DR657:DV657"/>
    <mergeCell ref="DR654:DV654"/>
    <mergeCell ref="DR653:DV653"/>
    <mergeCell ref="CS648:CW648"/>
    <mergeCell ref="BX648:CB648"/>
    <mergeCell ref="CM650:CQ650"/>
    <mergeCell ref="CX652:DB652"/>
    <mergeCell ref="CS655:CW655"/>
    <mergeCell ref="DH652:DL652"/>
    <mergeCell ref="DM652:DQ652"/>
    <mergeCell ref="CS653:CW653"/>
    <mergeCell ref="CX653:DB653"/>
    <mergeCell ref="DR649:DV649"/>
    <mergeCell ref="DR652:DV652"/>
    <mergeCell ref="AG665:AH665"/>
    <mergeCell ref="Z677:AK677"/>
    <mergeCell ref="Z669:AK669"/>
    <mergeCell ref="E707:AK707"/>
    <mergeCell ref="W706:AK706"/>
    <mergeCell ref="G675:R675"/>
    <mergeCell ref="DC648:DG648"/>
    <mergeCell ref="Z671:AE671"/>
    <mergeCell ref="Z668:AK668"/>
    <mergeCell ref="P663:R663"/>
    <mergeCell ref="G659:R659"/>
    <mergeCell ref="AI679:AK679"/>
    <mergeCell ref="Z663:AE663"/>
    <mergeCell ref="Z654:AK654"/>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B718:F718"/>
    <mergeCell ref="G720:J720"/>
    <mergeCell ref="B721:F721"/>
    <mergeCell ref="K719:N719"/>
    <mergeCell ref="G718:J718"/>
    <mergeCell ref="AH719:AJ719"/>
    <mergeCell ref="G670:R670"/>
    <mergeCell ref="G723:J723"/>
    <mergeCell ref="R705:T705"/>
    <mergeCell ref="G678:R678"/>
    <mergeCell ref="P679:R679"/>
    <mergeCell ref="G677:R677"/>
    <mergeCell ref="G685:R685"/>
    <mergeCell ref="N673:O673"/>
    <mergeCell ref="G687:L687"/>
    <mergeCell ref="AE693:AF693"/>
    <mergeCell ref="B719:F719"/>
    <mergeCell ref="B714:F717"/>
    <mergeCell ref="DC652:DG65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AK728:AO728"/>
    <mergeCell ref="AK729:AO729"/>
    <mergeCell ref="T729:W729"/>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G610:R610"/>
    <mergeCell ref="Z588:AK588"/>
    <mergeCell ref="Z578:AK578"/>
    <mergeCell ref="Z603:AK603"/>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H338:R338"/>
    <mergeCell ref="H337:R337"/>
    <mergeCell ref="H336:R336"/>
    <mergeCell ref="H335:R335"/>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E31" sqref="E3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8" t="s">
        <v>630</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1)Citibank N.A./Perm Loan</v>
      </c>
      <c r="G2" s="139" t="str">
        <f>Application!B628&amp;Application!C628</f>
        <v>2)Aegon/Solar TC</v>
      </c>
      <c r="H2" s="139" t="str">
        <f>Application!B629&amp;Application!C629</f>
        <v>3)Deferred Dev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4560130</v>
      </c>
      <c r="C4" s="147">
        <v>4560130</v>
      </c>
      <c r="D4" s="147"/>
      <c r="E4" s="147">
        <f>C4-G4-I4-F4</f>
        <v>4143880</v>
      </c>
      <c r="F4" s="147"/>
      <c r="G4" s="147">
        <v>416250</v>
      </c>
      <c r="H4" s="147"/>
      <c r="I4" s="147"/>
      <c r="J4" s="147"/>
      <c r="K4" s="147"/>
      <c r="L4" s="147"/>
      <c r="M4" s="147"/>
      <c r="N4" s="147"/>
      <c r="O4" s="147"/>
      <c r="P4" s="147"/>
      <c r="Q4" s="147"/>
      <c r="R4" s="550">
        <f>SUM(E4:Q4)</f>
        <v>4560130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4560130</v>
      </c>
      <c r="C8" s="146">
        <f t="shared" ref="C8:Q8" si="0">SUM(C4:C7)</f>
        <v>4560130</v>
      </c>
      <c r="D8" s="146">
        <f t="shared" si="0"/>
        <v>0</v>
      </c>
      <c r="E8" s="146">
        <f t="shared" si="0"/>
        <v>4143880</v>
      </c>
      <c r="F8" s="146">
        <f t="shared" si="0"/>
        <v>0</v>
      </c>
      <c r="G8" s="146">
        <f t="shared" si="0"/>
        <v>416250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4560130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4560130</v>
      </c>
      <c r="C12" s="146">
        <f t="shared" si="2"/>
        <v>4560130</v>
      </c>
      <c r="D12" s="146">
        <f t="shared" si="2"/>
        <v>0</v>
      </c>
      <c r="E12" s="146">
        <f t="shared" si="2"/>
        <v>4143880</v>
      </c>
      <c r="F12" s="146">
        <f t="shared" si="2"/>
        <v>0</v>
      </c>
      <c r="G12" s="146">
        <f t="shared" si="2"/>
        <v>416250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4560130</v>
      </c>
      <c r="S12" s="148"/>
      <c r="T12" s="148"/>
      <c r="U12" s="143"/>
    </row>
    <row r="13" spans="1:21" s="144" customFormat="1">
      <c r="A13" s="309" t="s">
        <v>918</v>
      </c>
      <c r="B13" s="146">
        <f>SUM(C13+D13)</f>
        <v>210341</v>
      </c>
      <c r="C13" s="147">
        <v>210341</v>
      </c>
      <c r="D13" s="147"/>
      <c r="E13" s="147">
        <f>C13-G13-I13-F13</f>
        <v>210341</v>
      </c>
      <c r="F13" s="147"/>
      <c r="G13" s="147"/>
      <c r="H13" s="147"/>
      <c r="I13" s="147"/>
      <c r="J13" s="147"/>
      <c r="K13" s="147"/>
      <c r="L13" s="147"/>
      <c r="M13" s="147"/>
      <c r="N13" s="147"/>
      <c r="O13" s="147"/>
      <c r="P13" s="147"/>
      <c r="Q13" s="147"/>
      <c r="R13" s="550">
        <f>SUM(E13:Q13)</f>
        <v>210341</v>
      </c>
      <c r="S13" s="147">
        <f>R13</f>
        <v>210341</v>
      </c>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8603769</v>
      </c>
      <c r="C29" s="147">
        <v>8603769</v>
      </c>
      <c r="D29" s="147"/>
      <c r="E29" s="147">
        <f>C29-G29-I29-F29</f>
        <v>8603769</v>
      </c>
      <c r="F29" s="147"/>
      <c r="G29" s="147"/>
      <c r="H29" s="147"/>
      <c r="I29" s="147"/>
      <c r="J29" s="147"/>
      <c r="K29" s="147"/>
      <c r="L29" s="147"/>
      <c r="M29" s="147"/>
      <c r="N29" s="147"/>
      <c r="O29" s="147"/>
      <c r="P29" s="147"/>
      <c r="Q29" s="147"/>
      <c r="R29" s="550">
        <f t="shared" ref="R29:R37" si="7">SUM(E29:Q29)</f>
        <v>8603769</v>
      </c>
      <c r="S29" s="147">
        <f>R29</f>
        <v>8603769</v>
      </c>
      <c r="T29" s="147"/>
      <c r="U29" s="143"/>
    </row>
    <row r="30" spans="1:21" s="144" customFormat="1">
      <c r="A30" s="145" t="s">
        <v>608</v>
      </c>
      <c r="B30" s="146">
        <f t="shared" si="6"/>
        <v>29327161</v>
      </c>
      <c r="C30" s="147">
        <v>29327161</v>
      </c>
      <c r="D30" s="147"/>
      <c r="E30" s="147">
        <f t="shared" ref="E30:E37" si="8">C30-G30-I30-F30</f>
        <v>3898667</v>
      </c>
      <c r="F30" s="147">
        <v>25428494</v>
      </c>
      <c r="G30" s="147"/>
      <c r="H30" s="147"/>
      <c r="I30" s="147"/>
      <c r="J30" s="147"/>
      <c r="K30" s="147"/>
      <c r="L30" s="147"/>
      <c r="M30" s="147"/>
      <c r="N30" s="147"/>
      <c r="O30" s="147"/>
      <c r="P30" s="147"/>
      <c r="Q30" s="147"/>
      <c r="R30" s="550">
        <f t="shared" si="7"/>
        <v>29327161</v>
      </c>
      <c r="S30" s="147">
        <f t="shared" ref="S30:S36" si="9">R30</f>
        <v>29327161</v>
      </c>
      <c r="T30" s="147"/>
      <c r="U30" s="143"/>
    </row>
    <row r="31" spans="1:21" s="144" customFormat="1">
      <c r="A31" s="145" t="s">
        <v>609</v>
      </c>
      <c r="B31" s="146">
        <f t="shared" si="6"/>
        <v>3967793.75</v>
      </c>
      <c r="C31" s="147">
        <v>3967793.75</v>
      </c>
      <c r="D31" s="147"/>
      <c r="E31" s="147">
        <f t="shared" si="8"/>
        <v>3967793.75</v>
      </c>
      <c r="F31" s="147"/>
      <c r="G31" s="147"/>
      <c r="H31" s="147"/>
      <c r="I31" s="147"/>
      <c r="J31" s="147"/>
      <c r="K31" s="147"/>
      <c r="L31" s="147"/>
      <c r="M31" s="147"/>
      <c r="N31" s="147"/>
      <c r="O31" s="147"/>
      <c r="P31" s="147"/>
      <c r="Q31" s="147"/>
      <c r="R31" s="550">
        <f t="shared" si="7"/>
        <v>3967793.75</v>
      </c>
      <c r="S31" s="147">
        <f t="shared" si="9"/>
        <v>3967793.75</v>
      </c>
      <c r="T31" s="147"/>
      <c r="U31" s="143"/>
    </row>
    <row r="32" spans="1:21" s="144" customFormat="1">
      <c r="A32" s="145" t="s">
        <v>137</v>
      </c>
      <c r="B32" s="146">
        <f t="shared" si="6"/>
        <v>1017383.01</v>
      </c>
      <c r="C32" s="147">
        <v>1017383.01</v>
      </c>
      <c r="D32" s="147"/>
      <c r="E32" s="147">
        <f t="shared" si="8"/>
        <v>1017383.01</v>
      </c>
      <c r="F32" s="147"/>
      <c r="G32" s="147"/>
      <c r="H32" s="147"/>
      <c r="I32" s="147"/>
      <c r="J32" s="147"/>
      <c r="K32" s="147"/>
      <c r="L32" s="147"/>
      <c r="M32" s="147"/>
      <c r="N32" s="147"/>
      <c r="O32" s="147"/>
      <c r="P32" s="147"/>
      <c r="Q32" s="147"/>
      <c r="R32" s="550">
        <f t="shared" si="7"/>
        <v>1017383.01</v>
      </c>
      <c r="S32" s="147">
        <f t="shared" si="9"/>
        <v>1017383.01</v>
      </c>
      <c r="T32" s="147"/>
      <c r="U32" s="143"/>
    </row>
    <row r="33" spans="1:21" s="144" customFormat="1">
      <c r="A33" s="145" t="s">
        <v>138</v>
      </c>
      <c r="B33" s="146">
        <f t="shared" si="6"/>
        <v>2216706.19</v>
      </c>
      <c r="C33" s="147">
        <v>2216706.19</v>
      </c>
      <c r="D33" s="147"/>
      <c r="E33" s="147">
        <f t="shared" si="8"/>
        <v>2216706.19</v>
      </c>
      <c r="F33" s="147"/>
      <c r="G33" s="147"/>
      <c r="H33" s="147"/>
      <c r="I33" s="147"/>
      <c r="J33" s="147"/>
      <c r="K33" s="147"/>
      <c r="L33" s="147"/>
      <c r="M33" s="147"/>
      <c r="N33" s="147"/>
      <c r="O33" s="147"/>
      <c r="P33" s="147"/>
      <c r="Q33" s="147"/>
      <c r="R33" s="550">
        <f t="shared" si="7"/>
        <v>2216706.19</v>
      </c>
      <c r="S33" s="147">
        <f t="shared" si="9"/>
        <v>2216706.19</v>
      </c>
      <c r="T33" s="147"/>
      <c r="U33" s="143"/>
    </row>
    <row r="34" spans="1:21" s="144" customFormat="1">
      <c r="A34" s="145" t="s">
        <v>139</v>
      </c>
      <c r="B34" s="146">
        <f t="shared" si="6"/>
        <v>11282262.99</v>
      </c>
      <c r="C34" s="147">
        <v>11282262.99</v>
      </c>
      <c r="D34" s="147"/>
      <c r="E34" s="147">
        <f t="shared" si="8"/>
        <v>11282262.99</v>
      </c>
      <c r="F34" s="147"/>
      <c r="G34" s="147"/>
      <c r="H34" s="147"/>
      <c r="I34" s="147"/>
      <c r="J34" s="147"/>
      <c r="K34" s="147"/>
      <c r="L34" s="147"/>
      <c r="M34" s="147"/>
      <c r="N34" s="147"/>
      <c r="O34" s="147"/>
      <c r="P34" s="147"/>
      <c r="Q34" s="147"/>
      <c r="R34" s="550">
        <f t="shared" si="7"/>
        <v>11282262.99</v>
      </c>
      <c r="S34" s="147">
        <f t="shared" si="9"/>
        <v>11282262.99</v>
      </c>
      <c r="T34" s="147"/>
      <c r="U34" s="143"/>
    </row>
    <row r="35" spans="1:21" s="144" customFormat="1">
      <c r="A35" s="145" t="s">
        <v>140</v>
      </c>
      <c r="B35" s="146">
        <f t="shared" si="6"/>
        <v>580710.34</v>
      </c>
      <c r="C35" s="147">
        <v>580710.34</v>
      </c>
      <c r="D35" s="147"/>
      <c r="E35" s="147">
        <f t="shared" si="8"/>
        <v>580710.34</v>
      </c>
      <c r="F35" s="147"/>
      <c r="G35" s="147"/>
      <c r="H35" s="147"/>
      <c r="I35" s="147"/>
      <c r="J35" s="147"/>
      <c r="K35" s="147"/>
      <c r="L35" s="147"/>
      <c r="M35" s="147"/>
      <c r="N35" s="147"/>
      <c r="O35" s="147"/>
      <c r="P35" s="147"/>
      <c r="Q35" s="147"/>
      <c r="R35" s="550">
        <f t="shared" si="7"/>
        <v>580710.34</v>
      </c>
      <c r="S35" s="147">
        <f t="shared" si="9"/>
        <v>580710.34</v>
      </c>
      <c r="T35" s="147"/>
      <c r="U35" s="143"/>
    </row>
    <row r="36" spans="1:21" s="144" customFormat="1">
      <c r="A36" s="304" t="s">
        <v>1754</v>
      </c>
      <c r="B36" s="146">
        <f t="shared" si="6"/>
        <v>250000</v>
      </c>
      <c r="C36" s="147">
        <v>250000</v>
      </c>
      <c r="D36" s="147"/>
      <c r="E36" s="147">
        <f t="shared" si="8"/>
        <v>250000</v>
      </c>
      <c r="F36" s="147"/>
      <c r="G36" s="147"/>
      <c r="H36" s="147"/>
      <c r="I36" s="147"/>
      <c r="J36" s="147"/>
      <c r="K36" s="147"/>
      <c r="L36" s="147"/>
      <c r="M36" s="147"/>
      <c r="N36" s="147"/>
      <c r="O36" s="147"/>
      <c r="P36" s="147"/>
      <c r="Q36" s="147"/>
      <c r="R36" s="550">
        <f t="shared" si="7"/>
        <v>250000</v>
      </c>
      <c r="S36" s="147">
        <f t="shared" si="9"/>
        <v>250000</v>
      </c>
      <c r="T36" s="147"/>
      <c r="U36" s="143"/>
    </row>
    <row r="37" spans="1:21" s="144" customFormat="1">
      <c r="A37" s="1193" t="s">
        <v>2786</v>
      </c>
      <c r="B37" s="146">
        <f t="shared" si="6"/>
        <v>1655958</v>
      </c>
      <c r="C37" s="147">
        <v>1655958</v>
      </c>
      <c r="D37" s="147"/>
      <c r="E37" s="147">
        <f t="shared" si="8"/>
        <v>1655958</v>
      </c>
      <c r="F37" s="147"/>
      <c r="G37" s="147"/>
      <c r="H37" s="147"/>
      <c r="I37" s="147"/>
      <c r="J37" s="147"/>
      <c r="K37" s="147"/>
      <c r="L37" s="147"/>
      <c r="M37" s="147"/>
      <c r="N37" s="147"/>
      <c r="O37" s="147"/>
      <c r="P37" s="147"/>
      <c r="Q37" s="147"/>
      <c r="R37" s="550">
        <f t="shared" si="7"/>
        <v>1655958</v>
      </c>
      <c r="S37" s="147">
        <f>R37</f>
        <v>1655958</v>
      </c>
      <c r="T37" s="147"/>
      <c r="U37" s="143"/>
    </row>
    <row r="38" spans="1:21" s="144" customFormat="1">
      <c r="A38" s="149" t="s">
        <v>143</v>
      </c>
      <c r="B38" s="146">
        <f t="shared" si="6"/>
        <v>58901744.280000001</v>
      </c>
      <c r="C38" s="146">
        <f>SUM(C29:C37)</f>
        <v>58901744.280000001</v>
      </c>
      <c r="D38" s="146">
        <f t="shared" ref="D38:Q38" si="10">SUM(D29:D37)</f>
        <v>0</v>
      </c>
      <c r="E38" s="146">
        <f t="shared" si="10"/>
        <v>33473250.280000005</v>
      </c>
      <c r="F38" s="146">
        <f t="shared" si="10"/>
        <v>25428494</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58901744.280000001</v>
      </c>
      <c r="S38" s="150">
        <f>SUM(S29:S37)</f>
        <v>58901744.280000001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562000</v>
      </c>
      <c r="C40" s="147">
        <v>562000</v>
      </c>
      <c r="D40" s="147"/>
      <c r="E40" s="147">
        <f t="shared" ref="E40" si="11">C40-G40-I40-F40</f>
        <v>562000</v>
      </c>
      <c r="F40" s="147"/>
      <c r="G40" s="147"/>
      <c r="H40" s="147"/>
      <c r="I40" s="147"/>
      <c r="J40" s="147"/>
      <c r="K40" s="147"/>
      <c r="L40" s="147"/>
      <c r="M40" s="147"/>
      <c r="N40" s="147"/>
      <c r="O40" s="147"/>
      <c r="P40" s="147"/>
      <c r="Q40" s="147"/>
      <c r="R40" s="550">
        <f>SUM(E40:Q40)</f>
        <v>562000</v>
      </c>
      <c r="S40" s="147">
        <f t="shared" ref="S40" si="12">R40</f>
        <v>562000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562000</v>
      </c>
      <c r="C42" s="146">
        <f>SUM(C39:C41)</f>
        <v>562000</v>
      </c>
      <c r="D42" s="146">
        <f>SUM(D39:D41)</f>
        <v>0</v>
      </c>
      <c r="E42" s="146">
        <f t="shared" ref="E42:T42" si="13">SUM(E40:E41)</f>
        <v>562000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562000</v>
      </c>
      <c r="S42" s="150">
        <f t="shared" si="13"/>
        <v>562000</v>
      </c>
      <c r="T42" s="150">
        <f t="shared" si="13"/>
        <v>0</v>
      </c>
      <c r="U42" s="143"/>
    </row>
    <row r="43" spans="1:21" s="144" customFormat="1">
      <c r="A43" s="149" t="s">
        <v>148</v>
      </c>
      <c r="B43" s="146">
        <f>SUM(C43:D43)</f>
        <v>1129370</v>
      </c>
      <c r="C43" s="147">
        <v>1129370</v>
      </c>
      <c r="D43" s="147"/>
      <c r="E43" s="147">
        <f t="shared" ref="E43" si="14">C43-G43-I43-F43</f>
        <v>1129370</v>
      </c>
      <c r="F43" s="147"/>
      <c r="G43" s="147"/>
      <c r="H43" s="147"/>
      <c r="I43" s="147"/>
      <c r="J43" s="147"/>
      <c r="K43" s="147"/>
      <c r="L43" s="147"/>
      <c r="M43" s="147"/>
      <c r="N43" s="147"/>
      <c r="O43" s="147"/>
      <c r="P43" s="147"/>
      <c r="Q43" s="147"/>
      <c r="R43" s="550">
        <f>SUM(E43:Q43)</f>
        <v>1129370</v>
      </c>
      <c r="S43" s="147">
        <f t="shared" ref="S43" si="15">R43</f>
        <v>1129370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8547969.4000000004</v>
      </c>
      <c r="C45" s="147">
        <v>8547969.4000000004</v>
      </c>
      <c r="D45" s="147"/>
      <c r="E45" s="147">
        <f t="shared" ref="E45:E46" si="17">C45-G45-I45-F45</f>
        <v>8547969.4000000004</v>
      </c>
      <c r="F45" s="147"/>
      <c r="G45" s="147"/>
      <c r="H45" s="147"/>
      <c r="I45" s="147"/>
      <c r="J45" s="147"/>
      <c r="K45" s="147"/>
      <c r="L45" s="147"/>
      <c r="M45" s="147"/>
      <c r="N45" s="147"/>
      <c r="O45" s="147"/>
      <c r="P45" s="147"/>
      <c r="Q45" s="147"/>
      <c r="R45" s="550">
        <f t="shared" ref="R45:R53" si="18">SUM(E45:Q45)</f>
        <v>8547969.4000000004</v>
      </c>
      <c r="S45" s="147">
        <v>6221917.2999999998</v>
      </c>
      <c r="T45" s="147"/>
      <c r="U45" s="143"/>
    </row>
    <row r="46" spans="1:21" s="144" customFormat="1">
      <c r="A46" s="145" t="s">
        <v>151</v>
      </c>
      <c r="B46" s="146">
        <f t="shared" si="16"/>
        <v>585810</v>
      </c>
      <c r="C46" s="147">
        <v>585810</v>
      </c>
      <c r="D46" s="147"/>
      <c r="E46" s="147">
        <f t="shared" si="17"/>
        <v>585810</v>
      </c>
      <c r="F46" s="147"/>
      <c r="G46" s="147"/>
      <c r="H46" s="147"/>
      <c r="I46" s="147"/>
      <c r="J46" s="147"/>
      <c r="K46" s="147"/>
      <c r="L46" s="147"/>
      <c r="M46" s="147"/>
      <c r="N46" s="147"/>
      <c r="O46" s="147"/>
      <c r="P46" s="147"/>
      <c r="Q46" s="147"/>
      <c r="R46" s="550">
        <f t="shared" si="18"/>
        <v>585810</v>
      </c>
      <c r="S46" s="147">
        <f>C46</f>
        <v>585810</v>
      </c>
      <c r="T46" s="147"/>
      <c r="U46" s="143"/>
    </row>
    <row r="47" spans="1:21" s="144" customFormat="1">
      <c r="A47" s="198" t="s">
        <v>152</v>
      </c>
      <c r="B47" s="146">
        <f t="shared" si="16"/>
        <v>0</v>
      </c>
      <c r="C47" s="147"/>
      <c r="D47" s="147"/>
      <c r="E47" s="147"/>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335273</v>
      </c>
      <c r="C49" s="147">
        <v>335273</v>
      </c>
      <c r="D49" s="147"/>
      <c r="E49" s="147">
        <f t="shared" ref="E49:E53" si="19">C49-G49-I49-F49</f>
        <v>335273</v>
      </c>
      <c r="F49" s="147"/>
      <c r="G49" s="147"/>
      <c r="H49" s="147"/>
      <c r="I49" s="147"/>
      <c r="J49" s="147"/>
      <c r="K49" s="147"/>
      <c r="L49" s="147"/>
      <c r="M49" s="147"/>
      <c r="N49" s="147"/>
      <c r="O49" s="147"/>
      <c r="P49" s="147"/>
      <c r="Q49" s="147"/>
      <c r="R49" s="550">
        <f t="shared" si="18"/>
        <v>335273</v>
      </c>
      <c r="S49" s="147">
        <v>16166.5</v>
      </c>
      <c r="T49" s="147"/>
      <c r="U49" s="143"/>
    </row>
    <row r="50" spans="1:21" s="144" customFormat="1">
      <c r="A50" s="145" t="s">
        <v>156</v>
      </c>
      <c r="B50" s="146">
        <f t="shared" si="16"/>
        <v>132096</v>
      </c>
      <c r="C50" s="147">
        <v>132096</v>
      </c>
      <c r="D50" s="147"/>
      <c r="E50" s="147">
        <f t="shared" si="19"/>
        <v>132096</v>
      </c>
      <c r="F50" s="147"/>
      <c r="G50" s="147"/>
      <c r="H50" s="147"/>
      <c r="I50" s="147"/>
      <c r="J50" s="147"/>
      <c r="K50" s="147"/>
      <c r="L50" s="147"/>
      <c r="M50" s="147"/>
      <c r="N50" s="147"/>
      <c r="O50" s="147"/>
      <c r="P50" s="147"/>
      <c r="Q50" s="147"/>
      <c r="R50" s="550">
        <f t="shared" si="18"/>
        <v>132096</v>
      </c>
      <c r="S50" s="147">
        <f>C50</f>
        <v>132096</v>
      </c>
      <c r="T50" s="147"/>
      <c r="U50" s="143"/>
    </row>
    <row r="51" spans="1:21" s="144" customFormat="1">
      <c r="A51" s="304" t="s">
        <v>154</v>
      </c>
      <c r="B51" s="146">
        <f t="shared" si="16"/>
        <v>120000</v>
      </c>
      <c r="C51" s="147">
        <v>120000</v>
      </c>
      <c r="D51" s="147"/>
      <c r="E51" s="147">
        <f t="shared" si="19"/>
        <v>120000</v>
      </c>
      <c r="F51" s="147"/>
      <c r="G51" s="147"/>
      <c r="H51" s="147"/>
      <c r="I51" s="147"/>
      <c r="J51" s="147"/>
      <c r="K51" s="147"/>
      <c r="L51" s="147"/>
      <c r="M51" s="147"/>
      <c r="N51" s="147"/>
      <c r="O51" s="147"/>
      <c r="P51" s="147"/>
      <c r="Q51" s="147"/>
      <c r="R51" s="550">
        <f t="shared" si="18"/>
        <v>120000</v>
      </c>
      <c r="S51" s="147">
        <f t="shared" ref="S51:S53" si="20">C51</f>
        <v>120000</v>
      </c>
      <c r="T51" s="147"/>
      <c r="U51" s="143"/>
    </row>
    <row r="52" spans="1:21" s="144" customFormat="1">
      <c r="A52" s="145" t="s">
        <v>155</v>
      </c>
      <c r="B52" s="146">
        <f t="shared" si="16"/>
        <v>1596566</v>
      </c>
      <c r="C52" s="147">
        <v>1596566</v>
      </c>
      <c r="D52" s="147"/>
      <c r="E52" s="147">
        <f t="shared" si="19"/>
        <v>1596566</v>
      </c>
      <c r="F52" s="147"/>
      <c r="G52" s="147"/>
      <c r="H52" s="147"/>
      <c r="I52" s="147"/>
      <c r="J52" s="147"/>
      <c r="K52" s="147"/>
      <c r="L52" s="147"/>
      <c r="M52" s="147"/>
      <c r="N52" s="147"/>
      <c r="O52" s="147"/>
      <c r="P52" s="147"/>
      <c r="Q52" s="147"/>
      <c r="R52" s="550">
        <f t="shared" si="18"/>
        <v>1596566</v>
      </c>
      <c r="S52" s="147">
        <f t="shared" si="20"/>
        <v>1596566</v>
      </c>
      <c r="T52" s="147"/>
      <c r="U52" s="143"/>
    </row>
    <row r="53" spans="1:21" s="144" customFormat="1">
      <c r="A53" s="1193" t="s">
        <v>2739</v>
      </c>
      <c r="B53" s="146">
        <f t="shared" si="16"/>
        <v>68200</v>
      </c>
      <c r="C53" s="147">
        <v>68200</v>
      </c>
      <c r="D53" s="147"/>
      <c r="E53" s="147">
        <f t="shared" si="19"/>
        <v>68200</v>
      </c>
      <c r="F53" s="147"/>
      <c r="G53" s="147"/>
      <c r="H53" s="147"/>
      <c r="I53" s="147"/>
      <c r="J53" s="147"/>
      <c r="K53" s="147"/>
      <c r="L53" s="147"/>
      <c r="M53" s="147"/>
      <c r="N53" s="147"/>
      <c r="O53" s="147"/>
      <c r="P53" s="147"/>
      <c r="Q53" s="147"/>
      <c r="R53" s="550">
        <f t="shared" si="18"/>
        <v>68200</v>
      </c>
      <c r="S53" s="147">
        <f t="shared" si="20"/>
        <v>68200</v>
      </c>
      <c r="T53" s="147"/>
      <c r="U53" s="143"/>
    </row>
    <row r="54" spans="1:21" s="153" customFormat="1">
      <c r="A54" s="149" t="s">
        <v>157</v>
      </c>
      <c r="B54" s="150">
        <f>SUM(C54:D54)</f>
        <v>11385914.4</v>
      </c>
      <c r="C54" s="150">
        <f t="shared" ref="C54:T54" si="21">SUM(C45:C53)</f>
        <v>11385914.4</v>
      </c>
      <c r="D54" s="150">
        <f t="shared" si="21"/>
        <v>0</v>
      </c>
      <c r="E54" s="150">
        <f t="shared" si="21"/>
        <v>11385914.4</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0">
        <f t="shared" si="21"/>
        <v>11385914.4</v>
      </c>
      <c r="S54" s="150">
        <f t="shared" si="21"/>
        <v>8740755.8000000007</v>
      </c>
      <c r="T54" s="150">
        <f t="shared" si="21"/>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411428</v>
      </c>
      <c r="C56" s="147">
        <v>411428</v>
      </c>
      <c r="D56" s="147"/>
      <c r="E56" s="147">
        <f t="shared" ref="E56" si="23">C56-G56-I56-F56</f>
        <v>411428</v>
      </c>
      <c r="F56" s="147"/>
      <c r="G56" s="147"/>
      <c r="H56" s="147"/>
      <c r="I56" s="147"/>
      <c r="J56" s="147"/>
      <c r="K56" s="147"/>
      <c r="L56" s="147"/>
      <c r="M56" s="147"/>
      <c r="N56" s="147"/>
      <c r="O56" s="147"/>
      <c r="P56" s="147"/>
      <c r="Q56" s="147"/>
      <c r="R56" s="550">
        <f t="shared" ref="R56:R61" si="24">SUM(E56:Q56)</f>
        <v>411428</v>
      </c>
      <c r="S56" s="148"/>
      <c r="T56" s="148"/>
      <c r="U56" s="143"/>
    </row>
    <row r="57" spans="1:21" s="204" customFormat="1">
      <c r="A57" s="198" t="s">
        <v>152</v>
      </c>
      <c r="B57" s="205">
        <f t="shared" si="22"/>
        <v>0</v>
      </c>
      <c r="C57" s="202"/>
      <c r="D57" s="202"/>
      <c r="E57" s="202"/>
      <c r="F57" s="202"/>
      <c r="G57" s="202"/>
      <c r="H57" s="202"/>
      <c r="I57" s="202"/>
      <c r="J57" s="202"/>
      <c r="K57" s="202"/>
      <c r="L57" s="202"/>
      <c r="M57" s="202"/>
      <c r="N57" s="202"/>
      <c r="O57" s="202"/>
      <c r="P57" s="202"/>
      <c r="Q57" s="202"/>
      <c r="R57" s="550">
        <f t="shared" si="24"/>
        <v>0</v>
      </c>
      <c r="S57" s="206"/>
      <c r="T57" s="206"/>
      <c r="U57" s="203"/>
    </row>
    <row r="58" spans="1:21" s="144" customFormat="1">
      <c r="A58" s="145" t="s">
        <v>156</v>
      </c>
      <c r="B58" s="146">
        <f t="shared" si="22"/>
        <v>0</v>
      </c>
      <c r="C58" s="147"/>
      <c r="D58" s="147"/>
      <c r="E58" s="147"/>
      <c r="F58" s="147"/>
      <c r="G58" s="147"/>
      <c r="H58" s="147"/>
      <c r="I58" s="147"/>
      <c r="J58" s="147"/>
      <c r="K58" s="147"/>
      <c r="L58" s="147"/>
      <c r="M58" s="147"/>
      <c r="N58" s="147"/>
      <c r="O58" s="147"/>
      <c r="P58" s="147"/>
      <c r="Q58" s="147"/>
      <c r="R58" s="550">
        <f t="shared" si="24"/>
        <v>0</v>
      </c>
      <c r="S58" s="148"/>
      <c r="T58" s="148"/>
      <c r="U58" s="143"/>
    </row>
    <row r="59" spans="1:21" s="144" customFormat="1">
      <c r="A59" s="304" t="s">
        <v>154</v>
      </c>
      <c r="B59" s="146">
        <f t="shared" si="22"/>
        <v>0</v>
      </c>
      <c r="C59" s="147"/>
      <c r="D59" s="147"/>
      <c r="E59" s="147"/>
      <c r="F59" s="147"/>
      <c r="G59" s="147"/>
      <c r="H59" s="147"/>
      <c r="I59" s="147"/>
      <c r="J59" s="147"/>
      <c r="K59" s="147"/>
      <c r="L59" s="147"/>
      <c r="M59" s="147"/>
      <c r="N59" s="147"/>
      <c r="O59" s="147"/>
      <c r="P59" s="147"/>
      <c r="Q59" s="147"/>
      <c r="R59" s="550">
        <f t="shared" si="24"/>
        <v>0</v>
      </c>
      <c r="S59" s="148"/>
      <c r="T59" s="148"/>
      <c r="U59" s="143"/>
    </row>
    <row r="60" spans="1:21" s="144" customFormat="1">
      <c r="A60" s="145" t="s">
        <v>155</v>
      </c>
      <c r="B60" s="146">
        <f t="shared" si="22"/>
        <v>0</v>
      </c>
      <c r="C60" s="147"/>
      <c r="D60" s="147"/>
      <c r="E60" s="147"/>
      <c r="F60" s="147"/>
      <c r="G60" s="147"/>
      <c r="H60" s="147"/>
      <c r="I60" s="147"/>
      <c r="J60" s="147"/>
      <c r="K60" s="147"/>
      <c r="L60" s="147"/>
      <c r="M60" s="147"/>
      <c r="N60" s="147"/>
      <c r="O60" s="147"/>
      <c r="P60" s="147"/>
      <c r="Q60" s="147"/>
      <c r="R60" s="550">
        <f t="shared" si="24"/>
        <v>0</v>
      </c>
      <c r="S60" s="148"/>
      <c r="T60" s="148"/>
      <c r="U60" s="143"/>
    </row>
    <row r="61" spans="1:21" s="144" customFormat="1">
      <c r="A61" s="1193" t="s">
        <v>34</v>
      </c>
      <c r="B61" s="146">
        <f t="shared" si="22"/>
        <v>0</v>
      </c>
      <c r="C61" s="147"/>
      <c r="D61" s="147"/>
      <c r="E61" s="147"/>
      <c r="F61" s="147"/>
      <c r="G61" s="147"/>
      <c r="H61" s="147"/>
      <c r="I61" s="147"/>
      <c r="J61" s="147"/>
      <c r="K61" s="147"/>
      <c r="L61" s="147"/>
      <c r="M61" s="147"/>
      <c r="N61" s="147"/>
      <c r="O61" s="147"/>
      <c r="P61" s="147"/>
      <c r="Q61" s="147"/>
      <c r="R61" s="550">
        <f t="shared" si="24"/>
        <v>0</v>
      </c>
      <c r="S61" s="148"/>
      <c r="T61" s="148"/>
      <c r="U61" s="143"/>
    </row>
    <row r="62" spans="1:21" s="144" customFormat="1" ht="13.7" customHeight="1">
      <c r="A62" s="149" t="s">
        <v>302</v>
      </c>
      <c r="B62" s="146">
        <f>SUM(C62:D62)</f>
        <v>411428</v>
      </c>
      <c r="C62" s="146">
        <f t="shared" ref="C62:R62" si="25">SUM(C56:C61)</f>
        <v>411428</v>
      </c>
      <c r="D62" s="146">
        <f t="shared" si="25"/>
        <v>0</v>
      </c>
      <c r="E62" s="146">
        <f t="shared" si="25"/>
        <v>411428</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70">
        <f t="shared" si="25"/>
        <v>411428</v>
      </c>
      <c r="S62" s="148"/>
      <c r="T62" s="148"/>
      <c r="U62" s="143"/>
    </row>
    <row r="63" spans="1:21" s="144" customFormat="1">
      <c r="A63" s="154" t="s">
        <v>303</v>
      </c>
      <c r="B63" s="146">
        <f t="shared" ref="B63:R63" si="26">SUM(B8+B11+B13+B14+B15+B26+B27+B38+B42+B43+B54+B62)</f>
        <v>77160927.680000007</v>
      </c>
      <c r="C63" s="146">
        <f t="shared" si="26"/>
        <v>77160927.680000007</v>
      </c>
      <c r="D63" s="146">
        <f t="shared" si="26"/>
        <v>0</v>
      </c>
      <c r="E63" s="146">
        <f t="shared" si="26"/>
        <v>51316183.68</v>
      </c>
      <c r="F63" s="146">
        <f t="shared" si="26"/>
        <v>25428494</v>
      </c>
      <c r="G63" s="146">
        <f t="shared" si="26"/>
        <v>416250</v>
      </c>
      <c r="H63" s="146">
        <f t="shared" si="26"/>
        <v>0</v>
      </c>
      <c r="I63" s="146">
        <f t="shared" si="26"/>
        <v>0</v>
      </c>
      <c r="J63" s="146">
        <f t="shared" si="26"/>
        <v>0</v>
      </c>
      <c r="K63" s="146">
        <f t="shared" si="26"/>
        <v>0</v>
      </c>
      <c r="L63" s="146">
        <f t="shared" si="26"/>
        <v>0</v>
      </c>
      <c r="M63" s="146">
        <f t="shared" si="26"/>
        <v>0</v>
      </c>
      <c r="N63" s="146">
        <f t="shared" si="26"/>
        <v>0</v>
      </c>
      <c r="O63" s="146">
        <f t="shared" si="26"/>
        <v>0</v>
      </c>
      <c r="P63" s="146">
        <f t="shared" si="26"/>
        <v>0</v>
      </c>
      <c r="Q63" s="146">
        <f t="shared" si="26"/>
        <v>0</v>
      </c>
      <c r="R63" s="370">
        <f t="shared" si="26"/>
        <v>77160927.680000007</v>
      </c>
      <c r="S63" s="146">
        <f>SUM(S10+S13+S14+S15+S26+S27+S38+S42+S43+S54)</f>
        <v>69544211.079999998</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v>
      </c>
      <c r="C65" s="147">
        <v>70000</v>
      </c>
      <c r="D65" s="147"/>
      <c r="E65" s="147">
        <f t="shared" ref="E65:E67" si="27">C65-G65-I65-F65</f>
        <v>70000</v>
      </c>
      <c r="F65" s="147"/>
      <c r="G65" s="147"/>
      <c r="H65" s="147"/>
      <c r="I65" s="147"/>
      <c r="J65" s="147"/>
      <c r="K65" s="147"/>
      <c r="L65" s="147"/>
      <c r="M65" s="147"/>
      <c r="N65" s="147"/>
      <c r="O65" s="147"/>
      <c r="P65" s="147"/>
      <c r="Q65" s="147"/>
      <c r="R65" s="550">
        <f>SUM(E65:Q65)</f>
        <v>70000</v>
      </c>
      <c r="S65" s="147">
        <v>11666.5</v>
      </c>
      <c r="T65" s="147"/>
      <c r="U65" s="143"/>
    </row>
    <row r="66" spans="1:21" s="144" customFormat="1" ht="24" customHeight="1">
      <c r="A66" s="304" t="s">
        <v>1755</v>
      </c>
      <c r="B66" s="146">
        <f>SUM(C66+D66)</f>
        <v>178696</v>
      </c>
      <c r="C66" s="147">
        <v>178696</v>
      </c>
      <c r="D66" s="147"/>
      <c r="E66" s="147">
        <f t="shared" si="27"/>
        <v>178696</v>
      </c>
      <c r="F66" s="147"/>
      <c r="G66" s="147"/>
      <c r="H66" s="147"/>
      <c r="I66" s="147"/>
      <c r="J66" s="147"/>
      <c r="K66" s="147"/>
      <c r="L66" s="147"/>
      <c r="M66" s="147"/>
      <c r="N66" s="147"/>
      <c r="O66" s="147"/>
      <c r="P66" s="147"/>
      <c r="Q66" s="147"/>
      <c r="R66" s="550">
        <f>SUM(E66:Q66)</f>
        <v>178696</v>
      </c>
      <c r="S66" s="147">
        <v>91478</v>
      </c>
      <c r="T66" s="147"/>
      <c r="U66" s="143"/>
    </row>
    <row r="67" spans="1:21" s="144" customFormat="1" ht="24" customHeight="1">
      <c r="A67" s="304" t="s">
        <v>1756</v>
      </c>
      <c r="B67" s="146">
        <f>SUM(C67+D67)</f>
        <v>105518</v>
      </c>
      <c r="C67" s="147">
        <v>105518</v>
      </c>
      <c r="D67" s="147"/>
      <c r="E67" s="147">
        <f t="shared" si="27"/>
        <v>105518</v>
      </c>
      <c r="F67" s="147"/>
      <c r="G67" s="147"/>
      <c r="H67" s="147"/>
      <c r="I67" s="147"/>
      <c r="J67" s="147"/>
      <c r="K67" s="147"/>
      <c r="L67" s="147"/>
      <c r="M67" s="147"/>
      <c r="N67" s="147"/>
      <c r="O67" s="147"/>
      <c r="P67" s="147"/>
      <c r="Q67" s="147"/>
      <c r="R67" s="550">
        <f>SUM(E67:Q67)</f>
        <v>105518</v>
      </c>
      <c r="S67" s="147">
        <v>26380</v>
      </c>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1759</v>
      </c>
      <c r="B70" s="146">
        <f>SUM(C70:D70)</f>
        <v>354214</v>
      </c>
      <c r="C70" s="146">
        <f>SUM(C65:C69)</f>
        <v>354214</v>
      </c>
      <c r="D70" s="146">
        <f>SUM(D65:D69)</f>
        <v>0</v>
      </c>
      <c r="E70" s="146">
        <f t="shared" ref="E70:T70" si="28">SUM(E65:E69)</f>
        <v>354214</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70">
        <f t="shared" si="28"/>
        <v>354214</v>
      </c>
      <c r="S70" s="150">
        <f t="shared" si="28"/>
        <v>129524.5</v>
      </c>
      <c r="T70" s="150">
        <f t="shared" si="2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699961</v>
      </c>
      <c r="C75" s="147">
        <v>699961</v>
      </c>
      <c r="D75" s="147"/>
      <c r="E75" s="147">
        <f t="shared" ref="E75" si="29">C75-G75-I75-F75</f>
        <v>699961</v>
      </c>
      <c r="F75" s="147"/>
      <c r="G75" s="147"/>
      <c r="H75" s="147"/>
      <c r="I75" s="147"/>
      <c r="J75" s="147"/>
      <c r="K75" s="147"/>
      <c r="L75" s="147"/>
      <c r="M75" s="147"/>
      <c r="N75" s="147"/>
      <c r="O75" s="147"/>
      <c r="P75" s="147"/>
      <c r="Q75" s="147"/>
      <c r="R75" s="550">
        <f>SUM(E75:Q75)</f>
        <v>699961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699961</v>
      </c>
      <c r="C77" s="146">
        <f>SUM(C72:C76)</f>
        <v>699961</v>
      </c>
      <c r="D77" s="146">
        <f>SUM(D72:D76)</f>
        <v>0</v>
      </c>
      <c r="E77" s="146">
        <f t="shared" ref="E77:Q77" si="30">SUM(E72:E76)</f>
        <v>699961</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70">
        <f>SUM(R72:R76)</f>
        <v>699961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2932587</v>
      </c>
      <c r="C79" s="147">
        <v>2932587</v>
      </c>
      <c r="D79" s="147"/>
      <c r="E79" s="147">
        <f t="shared" ref="E79:E80" si="31">C79-G79-I79-F79</f>
        <v>2932587</v>
      </c>
      <c r="F79" s="147"/>
      <c r="G79" s="147"/>
      <c r="H79" s="147"/>
      <c r="I79" s="147"/>
      <c r="J79" s="147"/>
      <c r="K79" s="147"/>
      <c r="L79" s="147"/>
      <c r="M79" s="147"/>
      <c r="N79" s="147"/>
      <c r="O79" s="147"/>
      <c r="P79" s="147"/>
      <c r="Q79" s="147"/>
      <c r="R79" s="550">
        <f>SUM(E79:Q79)</f>
        <v>2932587</v>
      </c>
      <c r="S79" s="147">
        <f>R79</f>
        <v>2932587</v>
      </c>
      <c r="T79" s="147"/>
      <c r="U79" s="143"/>
    </row>
    <row r="80" spans="1:21" s="144" customFormat="1">
      <c r="A80" s="304" t="s">
        <v>58</v>
      </c>
      <c r="B80" s="146">
        <f>SUM(C80:D80)</f>
        <v>498893</v>
      </c>
      <c r="C80" s="147">
        <v>498893</v>
      </c>
      <c r="D80" s="147"/>
      <c r="E80" s="147">
        <f t="shared" si="31"/>
        <v>498893</v>
      </c>
      <c r="F80" s="147"/>
      <c r="G80" s="147"/>
      <c r="H80" s="147"/>
      <c r="I80" s="147"/>
      <c r="J80" s="147"/>
      <c r="K80" s="147"/>
      <c r="L80" s="147"/>
      <c r="M80" s="147"/>
      <c r="N80" s="147"/>
      <c r="O80" s="147"/>
      <c r="P80" s="147"/>
      <c r="Q80" s="147"/>
      <c r="R80" s="550">
        <f>SUM(E80:Q80)</f>
        <v>498893</v>
      </c>
      <c r="S80" s="147">
        <f>R80</f>
        <v>498893</v>
      </c>
      <c r="T80" s="147"/>
      <c r="U80" s="143"/>
    </row>
    <row r="81" spans="1:21" s="144" customFormat="1">
      <c r="A81" s="149" t="s">
        <v>1316</v>
      </c>
      <c r="B81" s="146">
        <f>SUM(C81:D81)</f>
        <v>3431480</v>
      </c>
      <c r="C81" s="543">
        <f>SUM(C79:C80)</f>
        <v>3431480</v>
      </c>
      <c r="D81" s="543">
        <f t="shared" ref="D81:T81" si="32">SUM(D79:D80)</f>
        <v>0</v>
      </c>
      <c r="E81" s="543">
        <f t="shared" si="32"/>
        <v>3431480</v>
      </c>
      <c r="F81" s="543">
        <f t="shared" si="32"/>
        <v>0</v>
      </c>
      <c r="G81" s="543">
        <f t="shared" si="32"/>
        <v>0</v>
      </c>
      <c r="H81" s="543">
        <f t="shared" si="32"/>
        <v>0</v>
      </c>
      <c r="I81" s="543">
        <f t="shared" si="32"/>
        <v>0</v>
      </c>
      <c r="J81" s="543">
        <f t="shared" si="32"/>
        <v>0</v>
      </c>
      <c r="K81" s="543">
        <f t="shared" si="32"/>
        <v>0</v>
      </c>
      <c r="L81" s="543">
        <f t="shared" si="32"/>
        <v>0</v>
      </c>
      <c r="M81" s="543">
        <f t="shared" si="32"/>
        <v>0</v>
      </c>
      <c r="N81" s="543">
        <f t="shared" si="32"/>
        <v>0</v>
      </c>
      <c r="O81" s="543">
        <f t="shared" si="32"/>
        <v>0</v>
      </c>
      <c r="P81" s="543">
        <f t="shared" si="32"/>
        <v>0</v>
      </c>
      <c r="Q81" s="543">
        <f t="shared" si="32"/>
        <v>0</v>
      </c>
      <c r="R81" s="543">
        <f t="shared" si="32"/>
        <v>3431480</v>
      </c>
      <c r="S81" s="543">
        <f t="shared" si="32"/>
        <v>3431480</v>
      </c>
      <c r="T81" s="543">
        <f t="shared" si="32"/>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2407</v>
      </c>
      <c r="B83" s="146">
        <f t="shared" ref="B83:B95" si="33">SUM(C83+D83)</f>
        <v>317000</v>
      </c>
      <c r="C83" s="147">
        <v>317000</v>
      </c>
      <c r="D83" s="147"/>
      <c r="E83" s="147">
        <f t="shared" ref="E83:E94" si="34">C83-G83-I83-F83</f>
        <v>317000</v>
      </c>
      <c r="F83" s="147"/>
      <c r="G83" s="147"/>
      <c r="H83" s="147"/>
      <c r="I83" s="147"/>
      <c r="J83" s="147"/>
      <c r="K83" s="147"/>
      <c r="L83" s="147"/>
      <c r="M83" s="147"/>
      <c r="N83" s="147"/>
      <c r="O83" s="147"/>
      <c r="P83" s="147"/>
      <c r="Q83" s="147"/>
      <c r="R83" s="550">
        <f t="shared" ref="R83:R95" si="35">SUM(E83:Q83)</f>
        <v>317000</v>
      </c>
      <c r="S83" s="148"/>
      <c r="T83" s="148"/>
      <c r="U83" s="143"/>
    </row>
    <row r="84" spans="1:21" s="144" customFormat="1">
      <c r="A84" s="145" t="s">
        <v>777</v>
      </c>
      <c r="B84" s="146">
        <f t="shared" si="33"/>
        <v>0</v>
      </c>
      <c r="C84" s="147"/>
      <c r="D84" s="147"/>
      <c r="E84" s="147"/>
      <c r="F84" s="147"/>
      <c r="G84" s="147"/>
      <c r="H84" s="147"/>
      <c r="I84" s="147"/>
      <c r="J84" s="147"/>
      <c r="K84" s="147"/>
      <c r="L84" s="147"/>
      <c r="M84" s="147"/>
      <c r="N84" s="147"/>
      <c r="O84" s="147"/>
      <c r="P84" s="147"/>
      <c r="Q84" s="147"/>
      <c r="R84" s="550">
        <f t="shared" si="35"/>
        <v>0</v>
      </c>
      <c r="S84" s="147"/>
      <c r="T84" s="147"/>
      <c r="U84" s="143"/>
    </row>
    <row r="85" spans="1:21" s="144" customFormat="1">
      <c r="A85" s="145" t="s">
        <v>778</v>
      </c>
      <c r="B85" s="146">
        <f t="shared" si="33"/>
        <v>4109288.5</v>
      </c>
      <c r="C85" s="147">
        <v>4109288.5</v>
      </c>
      <c r="D85" s="147"/>
      <c r="E85" s="147">
        <f t="shared" si="34"/>
        <v>4109288.5</v>
      </c>
      <c r="F85" s="147"/>
      <c r="G85" s="147"/>
      <c r="H85" s="147"/>
      <c r="I85" s="147"/>
      <c r="J85" s="147"/>
      <c r="K85" s="147"/>
      <c r="L85" s="147"/>
      <c r="M85" s="147"/>
      <c r="N85" s="147"/>
      <c r="O85" s="147"/>
      <c r="P85" s="147"/>
      <c r="Q85" s="147"/>
      <c r="R85" s="550">
        <f t="shared" si="35"/>
        <v>4109288.5</v>
      </c>
      <c r="S85" s="147">
        <f>R85</f>
        <v>4109288.5</v>
      </c>
      <c r="T85" s="147"/>
      <c r="U85" s="143"/>
    </row>
    <row r="86" spans="1:21" s="144" customFormat="1">
      <c r="A86" s="145" t="s">
        <v>779</v>
      </c>
      <c r="B86" s="146">
        <f t="shared" si="33"/>
        <v>669073</v>
      </c>
      <c r="C86" s="147">
        <v>669073</v>
      </c>
      <c r="D86" s="147"/>
      <c r="E86" s="147">
        <f t="shared" si="34"/>
        <v>669073</v>
      </c>
      <c r="F86" s="147"/>
      <c r="G86" s="147"/>
      <c r="H86" s="147"/>
      <c r="I86" s="147"/>
      <c r="J86" s="147"/>
      <c r="K86" s="147"/>
      <c r="L86" s="147"/>
      <c r="M86" s="147"/>
      <c r="N86" s="147"/>
      <c r="O86" s="147"/>
      <c r="P86" s="147"/>
      <c r="Q86" s="147"/>
      <c r="R86" s="550">
        <f t="shared" si="35"/>
        <v>669073</v>
      </c>
      <c r="S86" s="147">
        <f>R86</f>
        <v>669073</v>
      </c>
      <c r="T86" s="147"/>
      <c r="U86" s="143"/>
    </row>
    <row r="87" spans="1:21" s="144" customFormat="1">
      <c r="A87" s="145" t="s">
        <v>780</v>
      </c>
      <c r="B87" s="146">
        <f t="shared" si="33"/>
        <v>0</v>
      </c>
      <c r="C87" s="147"/>
      <c r="D87" s="147"/>
      <c r="E87" s="147"/>
      <c r="F87" s="147"/>
      <c r="G87" s="147"/>
      <c r="H87" s="147"/>
      <c r="I87" s="147"/>
      <c r="J87" s="147"/>
      <c r="K87" s="147"/>
      <c r="L87" s="147"/>
      <c r="M87" s="147"/>
      <c r="N87" s="147"/>
      <c r="O87" s="147"/>
      <c r="P87" s="147"/>
      <c r="Q87" s="147"/>
      <c r="R87" s="550">
        <f t="shared" si="35"/>
        <v>0</v>
      </c>
      <c r="S87" s="147"/>
      <c r="T87" s="147"/>
      <c r="U87" s="143"/>
    </row>
    <row r="88" spans="1:21" s="144" customFormat="1">
      <c r="A88" s="145" t="s">
        <v>781</v>
      </c>
      <c r="B88" s="146">
        <f t="shared" si="33"/>
        <v>60000</v>
      </c>
      <c r="C88" s="147">
        <v>60000</v>
      </c>
      <c r="D88" s="147"/>
      <c r="E88" s="147">
        <f t="shared" si="34"/>
        <v>60000</v>
      </c>
      <c r="F88" s="147"/>
      <c r="G88" s="147"/>
      <c r="H88" s="147"/>
      <c r="I88" s="147"/>
      <c r="J88" s="147"/>
      <c r="K88" s="147"/>
      <c r="L88" s="147"/>
      <c r="M88" s="147"/>
      <c r="N88" s="147"/>
      <c r="O88" s="147"/>
      <c r="P88" s="147"/>
      <c r="Q88" s="147"/>
      <c r="R88" s="550">
        <f t="shared" si="35"/>
        <v>60000</v>
      </c>
      <c r="S88" s="148"/>
      <c r="T88" s="148"/>
      <c r="U88" s="143"/>
    </row>
    <row r="89" spans="1:21" s="144" customFormat="1">
      <c r="A89" s="145" t="s">
        <v>782</v>
      </c>
      <c r="B89" s="146">
        <f t="shared" si="33"/>
        <v>150000</v>
      </c>
      <c r="C89" s="147">
        <v>150000</v>
      </c>
      <c r="D89" s="147"/>
      <c r="E89" s="147">
        <f t="shared" si="34"/>
        <v>150000</v>
      </c>
      <c r="F89" s="147"/>
      <c r="G89" s="147"/>
      <c r="H89" s="147"/>
      <c r="I89" s="147"/>
      <c r="J89" s="147"/>
      <c r="K89" s="147"/>
      <c r="L89" s="147"/>
      <c r="M89" s="147"/>
      <c r="N89" s="147"/>
      <c r="O89" s="147"/>
      <c r="P89" s="147"/>
      <c r="Q89" s="147"/>
      <c r="R89" s="550">
        <f t="shared" si="35"/>
        <v>150000</v>
      </c>
      <c r="S89" s="147">
        <f>R89</f>
        <v>150000</v>
      </c>
      <c r="T89" s="147"/>
      <c r="U89" s="143"/>
    </row>
    <row r="90" spans="1:21" s="144" customFormat="1">
      <c r="A90" s="145" t="s">
        <v>783</v>
      </c>
      <c r="B90" s="146">
        <f t="shared" si="33"/>
        <v>12300</v>
      </c>
      <c r="C90" s="147">
        <v>12300</v>
      </c>
      <c r="D90" s="147"/>
      <c r="E90" s="147">
        <f t="shared" si="34"/>
        <v>12300</v>
      </c>
      <c r="F90" s="147"/>
      <c r="G90" s="147"/>
      <c r="H90" s="147"/>
      <c r="I90" s="147"/>
      <c r="J90" s="147"/>
      <c r="K90" s="147"/>
      <c r="L90" s="147"/>
      <c r="M90" s="147"/>
      <c r="N90" s="147"/>
      <c r="O90" s="147"/>
      <c r="P90" s="147"/>
      <c r="Q90" s="147"/>
      <c r="R90" s="550">
        <f t="shared" si="35"/>
        <v>12300</v>
      </c>
      <c r="S90" s="147">
        <f t="shared" ref="S90:S93" si="36">R90</f>
        <v>12300</v>
      </c>
      <c r="T90" s="147"/>
      <c r="U90" s="143"/>
    </row>
    <row r="91" spans="1:21" s="144" customFormat="1">
      <c r="A91" s="145" t="s">
        <v>373</v>
      </c>
      <c r="B91" s="146">
        <f t="shared" si="33"/>
        <v>25000</v>
      </c>
      <c r="C91" s="147">
        <v>25000</v>
      </c>
      <c r="D91" s="147"/>
      <c r="E91" s="147">
        <f t="shared" si="34"/>
        <v>25000</v>
      </c>
      <c r="F91" s="147"/>
      <c r="G91" s="147"/>
      <c r="H91" s="147"/>
      <c r="I91" s="147"/>
      <c r="J91" s="147"/>
      <c r="K91" s="147"/>
      <c r="L91" s="147"/>
      <c r="M91" s="147"/>
      <c r="N91" s="147"/>
      <c r="O91" s="147"/>
      <c r="P91" s="147"/>
      <c r="Q91" s="147"/>
      <c r="R91" s="550">
        <f t="shared" si="35"/>
        <v>25000</v>
      </c>
      <c r="S91" s="147">
        <f t="shared" si="36"/>
        <v>25000</v>
      </c>
      <c r="T91" s="147"/>
      <c r="U91" s="143"/>
    </row>
    <row r="92" spans="1:21" s="144" customFormat="1">
      <c r="A92" s="304" t="s">
        <v>1318</v>
      </c>
      <c r="B92" s="146">
        <f t="shared" si="33"/>
        <v>12800</v>
      </c>
      <c r="C92" s="147">
        <v>12800</v>
      </c>
      <c r="D92" s="147"/>
      <c r="E92" s="147">
        <f t="shared" si="34"/>
        <v>12800</v>
      </c>
      <c r="F92" s="147"/>
      <c r="G92" s="147"/>
      <c r="H92" s="147"/>
      <c r="I92" s="147"/>
      <c r="J92" s="147"/>
      <c r="K92" s="147"/>
      <c r="L92" s="147"/>
      <c r="M92" s="147"/>
      <c r="N92" s="147"/>
      <c r="O92" s="147"/>
      <c r="P92" s="147"/>
      <c r="Q92" s="147"/>
      <c r="R92" s="550">
        <f t="shared" si="35"/>
        <v>12800</v>
      </c>
      <c r="S92" s="147">
        <f t="shared" si="36"/>
        <v>12800</v>
      </c>
      <c r="T92" s="147"/>
      <c r="U92" s="143"/>
    </row>
    <row r="93" spans="1:21" s="144" customFormat="1">
      <c r="A93" s="1193" t="s">
        <v>2740</v>
      </c>
      <c r="B93" s="146">
        <f t="shared" si="33"/>
        <v>25000</v>
      </c>
      <c r="C93" s="147">
        <v>25000</v>
      </c>
      <c r="D93" s="147"/>
      <c r="E93" s="147">
        <f t="shared" si="34"/>
        <v>25000</v>
      </c>
      <c r="F93" s="147"/>
      <c r="G93" s="147"/>
      <c r="H93" s="147"/>
      <c r="I93" s="147"/>
      <c r="J93" s="147"/>
      <c r="K93" s="147"/>
      <c r="L93" s="147"/>
      <c r="M93" s="147"/>
      <c r="N93" s="147"/>
      <c r="O93" s="147"/>
      <c r="P93" s="147"/>
      <c r="Q93" s="147"/>
      <c r="R93" s="550">
        <f t="shared" si="35"/>
        <v>25000</v>
      </c>
      <c r="S93" s="147">
        <f t="shared" si="36"/>
        <v>25000</v>
      </c>
      <c r="T93" s="147"/>
      <c r="U93" s="143"/>
    </row>
    <row r="94" spans="1:21" s="144" customFormat="1">
      <c r="A94" s="1193" t="s">
        <v>2741</v>
      </c>
      <c r="B94" s="146">
        <f t="shared" si="33"/>
        <v>7727</v>
      </c>
      <c r="C94" s="147">
        <v>7727</v>
      </c>
      <c r="D94" s="147"/>
      <c r="E94" s="147">
        <f t="shared" si="34"/>
        <v>7727</v>
      </c>
      <c r="F94" s="147"/>
      <c r="G94" s="147"/>
      <c r="H94" s="147"/>
      <c r="I94" s="147"/>
      <c r="J94" s="147"/>
      <c r="K94" s="147"/>
      <c r="L94" s="147"/>
      <c r="M94" s="147"/>
      <c r="N94" s="147"/>
      <c r="O94" s="147"/>
      <c r="P94" s="147"/>
      <c r="Q94" s="147"/>
      <c r="R94" s="550">
        <f t="shared" si="35"/>
        <v>7727</v>
      </c>
      <c r="S94" s="147"/>
      <c r="T94" s="147"/>
      <c r="U94" s="143"/>
    </row>
    <row r="95" spans="1:21" s="144" customFormat="1">
      <c r="A95" s="1193" t="s">
        <v>34</v>
      </c>
      <c r="B95" s="146">
        <f t="shared" si="33"/>
        <v>0</v>
      </c>
      <c r="C95" s="147"/>
      <c r="D95" s="147"/>
      <c r="E95" s="147"/>
      <c r="F95" s="147"/>
      <c r="G95" s="147"/>
      <c r="H95" s="147"/>
      <c r="I95" s="147"/>
      <c r="J95" s="147"/>
      <c r="K95" s="147"/>
      <c r="L95" s="147"/>
      <c r="M95" s="147"/>
      <c r="N95" s="147"/>
      <c r="O95" s="147"/>
      <c r="P95" s="147"/>
      <c r="Q95" s="147"/>
      <c r="R95" s="550">
        <f t="shared" si="35"/>
        <v>0</v>
      </c>
      <c r="S95" s="147"/>
      <c r="T95" s="147"/>
      <c r="U95" s="143"/>
    </row>
    <row r="96" spans="1:21" s="144" customFormat="1">
      <c r="A96" s="149" t="s">
        <v>784</v>
      </c>
      <c r="B96" s="146">
        <f>SUM(C96:D96)</f>
        <v>5388188.5</v>
      </c>
      <c r="C96" s="146">
        <f t="shared" ref="C96:R96" si="37">SUM(C83:C95)</f>
        <v>5388188.5</v>
      </c>
      <c r="D96" s="146">
        <f t="shared" si="37"/>
        <v>0</v>
      </c>
      <c r="E96" s="146">
        <f t="shared" si="37"/>
        <v>5388188.5</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70">
        <f t="shared" si="37"/>
        <v>5388188.5</v>
      </c>
      <c r="S96" s="150">
        <f>SUM(S84:S87,S89:S95)</f>
        <v>5003461.5</v>
      </c>
      <c r="T96" s="146">
        <f>SUM(T84:T87,T89:T95)</f>
        <v>0</v>
      </c>
      <c r="U96" s="143"/>
    </row>
    <row r="97" spans="1:21" s="144" customFormat="1">
      <c r="A97" s="149" t="s">
        <v>785</v>
      </c>
      <c r="B97" s="146">
        <f>SUM(C97:D97)</f>
        <v>87034771.180000007</v>
      </c>
      <c r="C97" s="146">
        <f t="shared" ref="C97:R97" si="38">SUM(C63+C70+C77+C81+C96)</f>
        <v>87034771.180000007</v>
      </c>
      <c r="D97" s="146">
        <f t="shared" si="38"/>
        <v>0</v>
      </c>
      <c r="E97" s="146">
        <f t="shared" si="38"/>
        <v>61190027.18</v>
      </c>
      <c r="F97" s="146">
        <f t="shared" si="38"/>
        <v>25428494</v>
      </c>
      <c r="G97" s="146">
        <f t="shared" si="38"/>
        <v>416250</v>
      </c>
      <c r="H97" s="146">
        <f t="shared" si="38"/>
        <v>0</v>
      </c>
      <c r="I97" s="146">
        <f t="shared" si="38"/>
        <v>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87034771.180000007</v>
      </c>
      <c r="S97" s="146">
        <f>SUM(S63+S70+S81+S96)</f>
        <v>78108677.079999998</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15621735.4</v>
      </c>
      <c r="C99" s="1014">
        <v>15621735.4</v>
      </c>
      <c r="D99" s="1014"/>
      <c r="E99" s="1014">
        <f>C99-G99-I99-F99-H99</f>
        <v>4399999.82</v>
      </c>
      <c r="F99" s="147"/>
      <c r="G99" s="147"/>
      <c r="H99" s="147">
        <v>11221735.58</v>
      </c>
      <c r="I99" s="147"/>
      <c r="J99" s="147"/>
      <c r="K99" s="147"/>
      <c r="L99" s="147"/>
      <c r="M99" s="147"/>
      <c r="N99" s="147"/>
      <c r="O99" s="147"/>
      <c r="P99" s="147"/>
      <c r="Q99" s="147"/>
      <c r="R99" s="550">
        <f>SUM(E99:Q99)</f>
        <v>15621735.4</v>
      </c>
      <c r="S99" s="147">
        <f>R99</f>
        <v>15621735.4</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15621735.4</v>
      </c>
      <c r="C104" s="146">
        <f>SUM(C99:C103)</f>
        <v>15621735.4</v>
      </c>
      <c r="D104" s="146">
        <f t="shared" ref="D104:T104" si="39">SUM(D99:D103)</f>
        <v>0</v>
      </c>
      <c r="E104" s="146">
        <f t="shared" si="39"/>
        <v>4399999.82</v>
      </c>
      <c r="F104" s="146">
        <f t="shared" si="39"/>
        <v>0</v>
      </c>
      <c r="G104" s="146">
        <f t="shared" si="39"/>
        <v>0</v>
      </c>
      <c r="H104" s="146">
        <f t="shared" si="39"/>
        <v>11221735.58</v>
      </c>
      <c r="I104" s="146">
        <f t="shared" si="39"/>
        <v>0</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70">
        <f t="shared" si="39"/>
        <v>15621735.4</v>
      </c>
      <c r="S104" s="150">
        <f t="shared" si="39"/>
        <v>15621735.4</v>
      </c>
      <c r="T104" s="150">
        <f t="shared" si="39"/>
        <v>0</v>
      </c>
      <c r="U104" s="143"/>
    </row>
    <row r="105" spans="1:21" s="144" customFormat="1">
      <c r="A105" s="149" t="s">
        <v>790</v>
      </c>
      <c r="B105" s="150">
        <f>SUM(C105:D105)</f>
        <v>102656506.58000001</v>
      </c>
      <c r="C105" s="150">
        <f t="shared" ref="C105:R105" si="40">SUM(C97+C104)</f>
        <v>102656506.58000001</v>
      </c>
      <c r="D105" s="150">
        <f t="shared" si="40"/>
        <v>0</v>
      </c>
      <c r="E105" s="150">
        <f t="shared" si="40"/>
        <v>65590027</v>
      </c>
      <c r="F105" s="150">
        <f t="shared" si="40"/>
        <v>25428494</v>
      </c>
      <c r="G105" s="150">
        <f t="shared" si="40"/>
        <v>416250</v>
      </c>
      <c r="H105" s="150">
        <f t="shared" si="40"/>
        <v>11221735.58</v>
      </c>
      <c r="I105" s="150">
        <f t="shared" si="40"/>
        <v>0</v>
      </c>
      <c r="J105" s="150">
        <f t="shared" si="40"/>
        <v>0</v>
      </c>
      <c r="K105" s="150">
        <f t="shared" si="40"/>
        <v>0</v>
      </c>
      <c r="L105" s="150">
        <f t="shared" si="40"/>
        <v>0</v>
      </c>
      <c r="M105" s="150">
        <f t="shared" si="40"/>
        <v>0</v>
      </c>
      <c r="N105" s="150">
        <f t="shared" si="40"/>
        <v>0</v>
      </c>
      <c r="O105" s="150">
        <f t="shared" si="40"/>
        <v>0</v>
      </c>
      <c r="P105" s="150">
        <f t="shared" si="40"/>
        <v>0</v>
      </c>
      <c r="Q105" s="150">
        <f t="shared" si="40"/>
        <v>0</v>
      </c>
      <c r="R105" s="370">
        <f t="shared" si="40"/>
        <v>102656506.58000001</v>
      </c>
      <c r="S105" s="150">
        <f>S97+S104</f>
        <v>93730412.480000004</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93730412.480000004</v>
      </c>
      <c r="T107" s="150">
        <f>T105+T106</f>
        <v>0</v>
      </c>
    </row>
    <row r="108" spans="1:21" s="201" customFormat="1">
      <c r="A108" s="162" t="s">
        <v>892</v>
      </c>
      <c r="B108" s="157"/>
      <c r="C108" s="157"/>
      <c r="D108" s="157"/>
      <c r="E108" s="323">
        <f>Application!AO640</f>
        <v>65590027.399999999</v>
      </c>
      <c r="F108" s="323">
        <f>Application!AO627</f>
        <v>25428494</v>
      </c>
      <c r="G108" s="323">
        <f>Application!AO628</f>
        <v>416250</v>
      </c>
      <c r="H108" s="323">
        <f>Application!AO629</f>
        <v>11221735.58</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2408</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4" t="s">
        <v>1015</v>
      </c>
      <c r="E122" s="1884"/>
      <c r="F122" s="188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6" t="s">
        <v>1332</v>
      </c>
      <c r="E123" s="1816"/>
      <c r="F123" s="1816"/>
      <c r="G123" s="1816"/>
      <c r="H123" s="1816"/>
      <c r="I123" s="1816"/>
      <c r="J123" s="1816"/>
      <c r="K123" s="1816"/>
      <c r="L123" s="1816"/>
      <c r="M123" s="1816"/>
      <c r="N123" s="1816"/>
      <c r="O123" s="1816"/>
      <c r="P123" s="1816"/>
      <c r="Q123" s="1816"/>
      <c r="R123" s="1816"/>
      <c r="S123" s="1816"/>
      <c r="T123" s="352"/>
      <c r="U123" s="354"/>
    </row>
    <row r="124" spans="1:21" ht="12.75">
      <c r="A124" s="117" t="s">
        <v>1017</v>
      </c>
      <c r="B124" s="361"/>
      <c r="C124" s="117"/>
      <c r="D124" s="1816"/>
      <c r="E124" s="1816"/>
      <c r="F124" s="1816"/>
      <c r="G124" s="1816"/>
      <c r="H124" s="1816"/>
      <c r="I124" s="1816"/>
      <c r="J124" s="1816"/>
      <c r="K124" s="1816"/>
      <c r="L124" s="1816"/>
      <c r="M124" s="1816"/>
      <c r="N124" s="1816"/>
      <c r="O124" s="1816"/>
      <c r="P124" s="1816"/>
      <c r="Q124" s="1816"/>
      <c r="R124" s="1816"/>
      <c r="S124" s="1816"/>
      <c r="T124" s="352"/>
      <c r="U124" s="354"/>
    </row>
    <row r="125" spans="1:21" ht="12.75">
      <c r="A125" s="117" t="s">
        <v>1018</v>
      </c>
      <c r="B125" s="361"/>
      <c r="C125" s="117"/>
      <c r="D125" s="1816"/>
      <c r="E125" s="1816"/>
      <c r="F125" s="1816"/>
      <c r="G125" s="1816"/>
      <c r="H125" s="1816"/>
      <c r="I125" s="1816"/>
      <c r="J125" s="1816"/>
      <c r="K125" s="1816"/>
      <c r="L125" s="1816"/>
      <c r="M125" s="1816"/>
      <c r="N125" s="1816"/>
      <c r="O125" s="1816"/>
      <c r="P125" s="1816"/>
      <c r="Q125" s="1816"/>
      <c r="R125" s="1816"/>
      <c r="S125" s="1816"/>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1"/>
      <c r="E128" s="1881"/>
      <c r="F128" s="1881"/>
      <c r="G128" s="1881"/>
      <c r="H128" s="1881"/>
      <c r="I128" s="117"/>
      <c r="J128" s="1882"/>
      <c r="K128" s="1882"/>
      <c r="L128" s="117"/>
      <c r="M128" s="117"/>
      <c r="N128" s="117"/>
      <c r="O128" s="117"/>
      <c r="P128" s="117"/>
      <c r="Q128" s="117"/>
      <c r="R128" s="117"/>
      <c r="S128" s="117"/>
      <c r="T128" s="352"/>
      <c r="U128" s="354"/>
    </row>
    <row r="129" spans="1:21" ht="12.75">
      <c r="A129" s="117" t="s">
        <v>301</v>
      </c>
      <c r="B129" s="361"/>
      <c r="C129" s="117"/>
      <c r="D129" s="1883" t="s">
        <v>1022</v>
      </c>
      <c r="E129" s="1883"/>
      <c r="F129" s="1883"/>
      <c r="G129" s="1883"/>
      <c r="H129" s="188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8"/>
      <c r="E131" s="1858"/>
      <c r="F131" s="1858"/>
      <c r="G131" s="1858"/>
      <c r="H131" s="1858"/>
      <c r="I131" s="117"/>
      <c r="J131" s="1858"/>
      <c r="K131" s="1858"/>
      <c r="L131" s="1858"/>
      <c r="M131" s="1858"/>
      <c r="N131" s="117"/>
      <c r="O131" s="117"/>
      <c r="P131" s="117"/>
      <c r="Q131" s="117"/>
      <c r="R131" s="117"/>
      <c r="S131" s="117"/>
      <c r="T131" s="352"/>
      <c r="U131" s="354"/>
    </row>
    <row r="132" spans="1:21" ht="12" customHeight="1">
      <c r="A132" s="364"/>
      <c r="B132" s="117"/>
      <c r="C132" s="117"/>
      <c r="D132" s="1887" t="s">
        <v>1025</v>
      </c>
      <c r="E132" s="1887"/>
      <c r="F132" s="1887"/>
      <c r="G132" s="1887"/>
      <c r="H132" s="1887"/>
      <c r="I132" s="117"/>
      <c r="J132" s="1887" t="s">
        <v>1026</v>
      </c>
      <c r="K132" s="1887"/>
      <c r="L132" s="1887"/>
      <c r="M132" s="188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8"/>
      <c r="B138" s="1881"/>
      <c r="C138" s="1881"/>
      <c r="D138" s="356"/>
      <c r="E138" s="1882"/>
      <c r="F138" s="1882"/>
      <c r="G138" s="117"/>
      <c r="H138" s="117"/>
      <c r="I138" s="117"/>
      <c r="J138" s="117"/>
      <c r="K138" s="117"/>
      <c r="L138" s="117"/>
      <c r="M138" s="117"/>
      <c r="N138" s="117"/>
      <c r="O138" s="117"/>
      <c r="P138" s="117"/>
      <c r="Q138" s="117"/>
      <c r="R138" s="117"/>
      <c r="S138" s="117"/>
      <c r="T138" s="358"/>
      <c r="U138" s="359"/>
    </row>
    <row r="139" spans="1:21" ht="12.75">
      <c r="A139" s="1885" t="s">
        <v>1029</v>
      </c>
      <c r="B139" s="1885"/>
      <c r="C139" s="1885"/>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8" workbookViewId="0">
      <selection activeCell="F38" sqref="F38"/>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1" t="s">
        <v>1335</v>
      </c>
      <c r="B1" s="1892"/>
      <c r="C1" s="1892"/>
      <c r="D1" s="1892"/>
      <c r="E1" s="1892"/>
      <c r="F1" s="1892"/>
      <c r="G1" s="1892"/>
      <c r="H1" s="1892"/>
      <c r="I1" s="1892"/>
      <c r="J1" s="1893"/>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4560130</v>
      </c>
      <c r="C4" s="393">
        <f>B4</f>
        <v>4560130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4560130</v>
      </c>
      <c r="C8" s="392">
        <f>SUM(C4:C7)</f>
        <v>4560130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4560130</v>
      </c>
      <c r="C12" s="392">
        <f>SUM(C8+C11)</f>
        <v>4560130</v>
      </c>
      <c r="D12" s="392">
        <f>SUM(D8+D11)</f>
        <v>0</v>
      </c>
      <c r="E12" s="394"/>
      <c r="F12" s="394"/>
      <c r="G12" s="394"/>
      <c r="H12" s="394"/>
      <c r="I12" s="394"/>
      <c r="J12" s="394"/>
      <c r="K12" s="390"/>
    </row>
    <row r="13" spans="1:11" s="391" customFormat="1">
      <c r="A13" s="397" t="s">
        <v>918</v>
      </c>
      <c r="B13" s="392">
        <f>'Sources and Uses Budget'!C13</f>
        <v>210341</v>
      </c>
      <c r="C13" s="393">
        <f>B13</f>
        <v>210341</v>
      </c>
      <c r="D13" s="393"/>
      <c r="E13" s="392">
        <f>'Sources and Uses Budget'!S13</f>
        <v>210341</v>
      </c>
      <c r="F13" s="393">
        <f>E13</f>
        <v>210341</v>
      </c>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8603769</v>
      </c>
      <c r="C29" s="393">
        <f>B29</f>
        <v>8603769</v>
      </c>
      <c r="D29" s="393"/>
      <c r="E29" s="392">
        <f>'Sources and Uses Budget'!S29</f>
        <v>8603769</v>
      </c>
      <c r="F29" s="393">
        <f>E29</f>
        <v>8603769</v>
      </c>
      <c r="G29" s="393"/>
      <c r="H29" s="392">
        <f>'Sources and Uses Budget'!T29</f>
        <v>0</v>
      </c>
      <c r="I29" s="393"/>
      <c r="J29" s="393"/>
      <c r="K29" s="390"/>
    </row>
    <row r="30" spans="1:11" s="391" customFormat="1">
      <c r="A30" s="145" t="s">
        <v>608</v>
      </c>
      <c r="B30" s="392">
        <f>'Sources and Uses Budget'!C30</f>
        <v>29327161</v>
      </c>
      <c r="C30" s="393">
        <f t="shared" ref="C30:C36" si="0">B30</f>
        <v>29327161</v>
      </c>
      <c r="D30" s="393"/>
      <c r="E30" s="392">
        <f>'Sources and Uses Budget'!S30</f>
        <v>29327161</v>
      </c>
      <c r="F30" s="393">
        <f t="shared" ref="F30:F36" si="1">E30</f>
        <v>29327161</v>
      </c>
      <c r="G30" s="393"/>
      <c r="H30" s="392">
        <f>'Sources and Uses Budget'!T30</f>
        <v>0</v>
      </c>
      <c r="I30" s="393"/>
      <c r="J30" s="393"/>
      <c r="K30" s="390"/>
    </row>
    <row r="31" spans="1:11" s="391" customFormat="1">
      <c r="A31" s="145" t="s">
        <v>609</v>
      </c>
      <c r="B31" s="392">
        <f>'Sources and Uses Budget'!C31</f>
        <v>3967793.75</v>
      </c>
      <c r="C31" s="393">
        <f t="shared" si="0"/>
        <v>3967793.75</v>
      </c>
      <c r="D31" s="393"/>
      <c r="E31" s="392">
        <f>'Sources and Uses Budget'!S31</f>
        <v>3967793.75</v>
      </c>
      <c r="F31" s="393">
        <f t="shared" si="1"/>
        <v>3967793.75</v>
      </c>
      <c r="G31" s="393"/>
      <c r="H31" s="392">
        <f>'Sources and Uses Budget'!T31</f>
        <v>0</v>
      </c>
      <c r="I31" s="393"/>
      <c r="J31" s="393"/>
      <c r="K31" s="390"/>
    </row>
    <row r="32" spans="1:11" s="391" customFormat="1">
      <c r="A32" s="145" t="s">
        <v>137</v>
      </c>
      <c r="B32" s="392">
        <f>'Sources and Uses Budget'!C32</f>
        <v>1017383.01</v>
      </c>
      <c r="C32" s="393">
        <f t="shared" si="0"/>
        <v>1017383.01</v>
      </c>
      <c r="D32" s="393"/>
      <c r="E32" s="392">
        <f>'Sources and Uses Budget'!S32</f>
        <v>1017383.01</v>
      </c>
      <c r="F32" s="393">
        <f t="shared" si="1"/>
        <v>1017383.01</v>
      </c>
      <c r="G32" s="393"/>
      <c r="H32" s="392">
        <f>'Sources and Uses Budget'!T32</f>
        <v>0</v>
      </c>
      <c r="I32" s="393"/>
      <c r="J32" s="393"/>
      <c r="K32" s="390"/>
    </row>
    <row r="33" spans="1:11" s="391" customFormat="1">
      <c r="A33" s="145" t="s">
        <v>138</v>
      </c>
      <c r="B33" s="392">
        <f>'Sources and Uses Budget'!C33</f>
        <v>2216706.19</v>
      </c>
      <c r="C33" s="393">
        <f t="shared" si="0"/>
        <v>2216706.19</v>
      </c>
      <c r="D33" s="393"/>
      <c r="E33" s="392">
        <f>'Sources and Uses Budget'!S33</f>
        <v>2216706.19</v>
      </c>
      <c r="F33" s="393">
        <f t="shared" si="1"/>
        <v>2216706.19</v>
      </c>
      <c r="G33" s="393"/>
      <c r="H33" s="392">
        <f>'Sources and Uses Budget'!T33</f>
        <v>0</v>
      </c>
      <c r="I33" s="393"/>
      <c r="J33" s="393"/>
      <c r="K33" s="390"/>
    </row>
    <row r="34" spans="1:11" s="391" customFormat="1">
      <c r="A34" s="145" t="s">
        <v>139</v>
      </c>
      <c r="B34" s="392">
        <f>'Sources and Uses Budget'!C34</f>
        <v>11282262.99</v>
      </c>
      <c r="C34" s="393">
        <f t="shared" si="0"/>
        <v>11282262.99</v>
      </c>
      <c r="D34" s="393"/>
      <c r="E34" s="392">
        <f>'Sources and Uses Budget'!S34</f>
        <v>11282262.99</v>
      </c>
      <c r="F34" s="393">
        <f t="shared" si="1"/>
        <v>11282262.99</v>
      </c>
      <c r="G34" s="393"/>
      <c r="H34" s="392">
        <f>'Sources and Uses Budget'!T34</f>
        <v>0</v>
      </c>
      <c r="I34" s="393"/>
      <c r="J34" s="393"/>
      <c r="K34" s="390"/>
    </row>
    <row r="35" spans="1:11" s="391" customFormat="1">
      <c r="A35" s="145" t="s">
        <v>140</v>
      </c>
      <c r="B35" s="392">
        <f>'Sources and Uses Budget'!C35</f>
        <v>580710.34</v>
      </c>
      <c r="C35" s="393">
        <f t="shared" si="0"/>
        <v>580710.34</v>
      </c>
      <c r="D35" s="393"/>
      <c r="E35" s="392">
        <f>'Sources and Uses Budget'!S35</f>
        <v>580710.34</v>
      </c>
      <c r="F35" s="393">
        <f t="shared" si="1"/>
        <v>580710.34</v>
      </c>
      <c r="G35" s="393"/>
      <c r="H35" s="392">
        <f>'Sources and Uses Budget'!T35</f>
        <v>0</v>
      </c>
      <c r="I35" s="393"/>
      <c r="J35" s="393"/>
      <c r="K35" s="390"/>
    </row>
    <row r="36" spans="1:11" s="391" customFormat="1">
      <c r="A36" s="542" t="s">
        <v>1754</v>
      </c>
      <c r="B36" s="392">
        <f>'Sources and Uses Budget'!C36</f>
        <v>250000</v>
      </c>
      <c r="C36" s="393">
        <f t="shared" si="0"/>
        <v>250000</v>
      </c>
      <c r="D36" s="393"/>
      <c r="E36" s="392">
        <f>'Sources and Uses Budget'!S36</f>
        <v>250000</v>
      </c>
      <c r="F36" s="393">
        <f t="shared" si="1"/>
        <v>250000</v>
      </c>
      <c r="G36" s="393"/>
      <c r="H36" s="392">
        <f>'Sources and Uses Budget'!T36</f>
        <v>0</v>
      </c>
      <c r="I36" s="393"/>
      <c r="J36" s="393"/>
      <c r="K36" s="390"/>
    </row>
    <row r="37" spans="1:11" s="391" customFormat="1">
      <c r="A37" s="395" t="str">
        <f>'Sources and Uses Budget'!$A37</f>
        <v>Other: Off-site Dedicated Improvements</v>
      </c>
      <c r="B37" s="392">
        <f>'Sources and Uses Budget'!C37</f>
        <v>1655958</v>
      </c>
      <c r="C37" s="393">
        <f>B37</f>
        <v>1655958</v>
      </c>
      <c r="D37" s="393"/>
      <c r="E37" s="392">
        <f>'Sources and Uses Budget'!S37</f>
        <v>1655958</v>
      </c>
      <c r="F37" s="393">
        <f>E37</f>
        <v>1655958</v>
      </c>
      <c r="G37" s="393"/>
      <c r="H37" s="392">
        <f>'Sources and Uses Budget'!T37</f>
        <v>0</v>
      </c>
      <c r="I37" s="393"/>
      <c r="J37" s="393"/>
      <c r="K37" s="390"/>
    </row>
    <row r="38" spans="1:11" s="391" customFormat="1">
      <c r="A38" s="396" t="s">
        <v>143</v>
      </c>
      <c r="B38" s="392">
        <f>'Sources and Uses Budget'!C38</f>
        <v>58901744.280000001</v>
      </c>
      <c r="C38" s="392">
        <f>SUM(C29:C37)</f>
        <v>58901744.280000001</v>
      </c>
      <c r="D38" s="392">
        <f>SUM(D29:D37)</f>
        <v>0</v>
      </c>
      <c r="E38" s="392">
        <f>'Sources and Uses Budget'!S38</f>
        <v>58901744.280000001</v>
      </c>
      <c r="F38" s="398">
        <f>SUM(F29:F37)</f>
        <v>58901744.280000001</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562000</v>
      </c>
      <c r="C40" s="393">
        <f>B40</f>
        <v>562000</v>
      </c>
      <c r="D40" s="393"/>
      <c r="E40" s="392">
        <f>'Sources and Uses Budget'!S40</f>
        <v>562000</v>
      </c>
      <c r="F40" s="393">
        <f>E40</f>
        <v>562000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562000</v>
      </c>
      <c r="C42" s="392">
        <f>SUM(C39:C41)</f>
        <v>562000</v>
      </c>
      <c r="D42" s="392">
        <f>SUM(D39:D41)</f>
        <v>0</v>
      </c>
      <c r="E42" s="392">
        <f>'Sources and Uses Budget'!S42</f>
        <v>562000</v>
      </c>
      <c r="F42" s="398">
        <f>SUM(F40:F41)</f>
        <v>562000</v>
      </c>
      <c r="G42" s="398">
        <f>SUM(G40:G41)</f>
        <v>0</v>
      </c>
      <c r="H42" s="392">
        <f>'Sources and Uses Budget'!T42</f>
        <v>0</v>
      </c>
      <c r="I42" s="398">
        <f>SUM(I40:I41)</f>
        <v>0</v>
      </c>
      <c r="J42" s="398">
        <f>SUM(J40:J41)</f>
        <v>0</v>
      </c>
      <c r="K42" s="390"/>
    </row>
    <row r="43" spans="1:11" s="391" customFormat="1">
      <c r="A43" s="396" t="s">
        <v>148</v>
      </c>
      <c r="B43" s="392">
        <f>'Sources and Uses Budget'!C43</f>
        <v>1129370</v>
      </c>
      <c r="C43" s="393">
        <f>B43</f>
        <v>1129370</v>
      </c>
      <c r="D43" s="393"/>
      <c r="E43" s="392">
        <f>'Sources and Uses Budget'!S43</f>
        <v>1129370</v>
      </c>
      <c r="F43" s="393">
        <f>E43</f>
        <v>1129370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8547969.4000000004</v>
      </c>
      <c r="C45" s="393">
        <f>B45</f>
        <v>8547969.4000000004</v>
      </c>
      <c r="D45" s="393"/>
      <c r="E45" s="392">
        <f>'Sources and Uses Budget'!S45</f>
        <v>6221917.2999999998</v>
      </c>
      <c r="F45" s="393">
        <f>E45</f>
        <v>6221917.2999999998</v>
      </c>
      <c r="G45" s="393"/>
      <c r="H45" s="392">
        <f>'Sources and Uses Budget'!T45</f>
        <v>0</v>
      </c>
      <c r="I45" s="393"/>
      <c r="J45" s="393"/>
      <c r="K45" s="390"/>
    </row>
    <row r="46" spans="1:11" s="391" customFormat="1">
      <c r="A46" s="395" t="s">
        <v>151</v>
      </c>
      <c r="B46" s="392">
        <f>'Sources and Uses Budget'!C46</f>
        <v>585810</v>
      </c>
      <c r="C46" s="393">
        <f>B46</f>
        <v>585810</v>
      </c>
      <c r="D46" s="393"/>
      <c r="E46" s="392">
        <f>'Sources and Uses Budget'!S46</f>
        <v>585810</v>
      </c>
      <c r="F46" s="393">
        <f>E46</f>
        <v>585810</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335273</v>
      </c>
      <c r="C49" s="393">
        <f>B49</f>
        <v>335273</v>
      </c>
      <c r="D49" s="393"/>
      <c r="E49" s="392">
        <f>'Sources and Uses Budget'!S49</f>
        <v>16166.5</v>
      </c>
      <c r="F49" s="393">
        <f>E49</f>
        <v>16166.5</v>
      </c>
      <c r="G49" s="393"/>
      <c r="H49" s="392">
        <f>'Sources and Uses Budget'!T49</f>
        <v>0</v>
      </c>
      <c r="I49" s="393"/>
      <c r="J49" s="393"/>
      <c r="K49" s="390"/>
    </row>
    <row r="50" spans="1:11" s="391" customFormat="1">
      <c r="A50" s="395" t="s">
        <v>156</v>
      </c>
      <c r="B50" s="392">
        <f>'Sources and Uses Budget'!C50</f>
        <v>132096</v>
      </c>
      <c r="C50" s="393">
        <f>B50</f>
        <v>132096</v>
      </c>
      <c r="D50" s="393"/>
      <c r="E50" s="392">
        <f>'Sources and Uses Budget'!S50</f>
        <v>132096</v>
      </c>
      <c r="F50" s="393">
        <f>E50</f>
        <v>132096</v>
      </c>
      <c r="G50" s="393"/>
      <c r="H50" s="392">
        <f>'Sources and Uses Budget'!T50</f>
        <v>0</v>
      </c>
      <c r="I50" s="393"/>
      <c r="J50" s="393"/>
      <c r="K50" s="390"/>
    </row>
    <row r="51" spans="1:11" s="391" customFormat="1">
      <c r="A51" s="395" t="s">
        <v>154</v>
      </c>
      <c r="B51" s="392">
        <f>'Sources and Uses Budget'!C51</f>
        <v>120000</v>
      </c>
      <c r="C51" s="393">
        <f>B51</f>
        <v>120000</v>
      </c>
      <c r="D51" s="393"/>
      <c r="E51" s="392">
        <f>'Sources and Uses Budget'!S51</f>
        <v>120000</v>
      </c>
      <c r="F51" s="393">
        <f>E51</f>
        <v>120000</v>
      </c>
      <c r="G51" s="393"/>
      <c r="H51" s="392">
        <f>'Sources and Uses Budget'!T51</f>
        <v>0</v>
      </c>
      <c r="I51" s="393"/>
      <c r="J51" s="393"/>
      <c r="K51" s="390"/>
    </row>
    <row r="52" spans="1:11" s="391" customFormat="1">
      <c r="A52" s="395" t="s">
        <v>155</v>
      </c>
      <c r="B52" s="392">
        <f>'Sources and Uses Budget'!C52</f>
        <v>1596566</v>
      </c>
      <c r="C52" s="393">
        <f>B52</f>
        <v>1596566</v>
      </c>
      <c r="D52" s="393"/>
      <c r="E52" s="392">
        <f>'Sources and Uses Budget'!S52</f>
        <v>1596566</v>
      </c>
      <c r="F52" s="393">
        <f>E52</f>
        <v>1596566</v>
      </c>
      <c r="G52" s="393"/>
      <c r="H52" s="392">
        <f>'Sources and Uses Budget'!T52</f>
        <v>0</v>
      </c>
      <c r="I52" s="393"/>
      <c r="J52" s="393"/>
      <c r="K52" s="390"/>
    </row>
    <row r="53" spans="1:11" s="391" customFormat="1">
      <c r="A53" s="395" t="str">
        <f>'Sources and Uses Budget'!$A53</f>
        <v>Other: Bank Inspection</v>
      </c>
      <c r="B53" s="392">
        <f>'Sources and Uses Budget'!C53</f>
        <v>68200</v>
      </c>
      <c r="C53" s="393">
        <f>B53</f>
        <v>68200</v>
      </c>
      <c r="D53" s="393"/>
      <c r="E53" s="392">
        <f>'Sources and Uses Budget'!S53</f>
        <v>68200</v>
      </c>
      <c r="F53" s="393">
        <f>E53</f>
        <v>68200</v>
      </c>
      <c r="G53" s="393"/>
      <c r="H53" s="392">
        <f>'Sources and Uses Budget'!T53</f>
        <v>0</v>
      </c>
      <c r="I53" s="393"/>
      <c r="J53" s="393"/>
      <c r="K53" s="390"/>
    </row>
    <row r="54" spans="1:11" s="400" customFormat="1">
      <c r="A54" s="396" t="s">
        <v>157</v>
      </c>
      <c r="B54" s="392">
        <f>'Sources and Uses Budget'!C54</f>
        <v>11385914.4</v>
      </c>
      <c r="C54" s="398">
        <f>SUM(C45:C53)</f>
        <v>11385914.4</v>
      </c>
      <c r="D54" s="398">
        <f>SUM(D45:D53)</f>
        <v>0</v>
      </c>
      <c r="E54" s="392">
        <f>'Sources and Uses Budget'!S54</f>
        <v>8740755.8000000007</v>
      </c>
      <c r="F54" s="398">
        <f>SUM(F45:F53)</f>
        <v>8740755.8000000007</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411428</v>
      </c>
      <c r="C56" s="393">
        <f>B56</f>
        <v>411428</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411428</v>
      </c>
      <c r="C62" s="392">
        <f>SUM(C56:C61)</f>
        <v>411428</v>
      </c>
      <c r="D62" s="392">
        <f>SUM(D56:D61)</f>
        <v>0</v>
      </c>
      <c r="E62" s="394"/>
      <c r="F62" s="394"/>
      <c r="G62" s="394"/>
      <c r="H62" s="394"/>
      <c r="I62" s="394"/>
      <c r="J62" s="394"/>
      <c r="K62" s="390"/>
    </row>
    <row r="63" spans="1:11" s="391" customFormat="1">
      <c r="A63" s="401" t="s">
        <v>303</v>
      </c>
      <c r="B63" s="392">
        <f>'Sources and Uses Budget'!C63</f>
        <v>77160927.680000007</v>
      </c>
      <c r="C63" s="392">
        <f>SUM(C8+C11+C13+C14+C15+C26+C27+C38+C42+C43+C54+C62)</f>
        <v>77160927.680000007</v>
      </c>
      <c r="D63" s="392">
        <f>SUM(D8+D11+D13+D14+D15+D26+D27+D38+D42+D43+D54+D62)</f>
        <v>0</v>
      </c>
      <c r="E63" s="392">
        <f>'Sources and Uses Budget'!S63</f>
        <v>69544211.079999998</v>
      </c>
      <c r="F63" s="392">
        <f>SUM(F10+F13+F14+F15+F26+F27+F38+F42+F43+F54)</f>
        <v>69544211.079999998</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70000</v>
      </c>
      <c r="C65" s="393">
        <f>B65</f>
        <v>70000</v>
      </c>
      <c r="D65" s="393"/>
      <c r="E65" s="392">
        <f>'Sources and Uses Budget'!S65</f>
        <v>11666.5</v>
      </c>
      <c r="F65" s="393">
        <f>E65</f>
        <v>11666.5</v>
      </c>
      <c r="G65" s="393"/>
      <c r="H65" s="392">
        <f>'Sources and Uses Budget'!T65</f>
        <v>0</v>
      </c>
      <c r="I65" s="393"/>
      <c r="J65" s="393"/>
      <c r="K65" s="390"/>
    </row>
    <row r="66" spans="1:11" s="391" customFormat="1" ht="24">
      <c r="A66" s="304" t="s">
        <v>1755</v>
      </c>
      <c r="B66" s="392">
        <f>'Sources and Uses Budget'!C66</f>
        <v>178696</v>
      </c>
      <c r="C66" s="393">
        <f>B66</f>
        <v>178696</v>
      </c>
      <c r="D66" s="393"/>
      <c r="E66" s="392">
        <f>'Sources and Uses Budget'!S66</f>
        <v>91478</v>
      </c>
      <c r="F66" s="393">
        <f>E66</f>
        <v>91478</v>
      </c>
      <c r="G66" s="393"/>
      <c r="H66" s="392">
        <f>'Sources and Uses Budget'!T66</f>
        <v>0</v>
      </c>
      <c r="I66" s="393"/>
      <c r="J66" s="393"/>
      <c r="K66" s="390"/>
    </row>
    <row r="67" spans="1:11" s="391" customFormat="1" ht="24">
      <c r="A67" s="304" t="s">
        <v>1756</v>
      </c>
      <c r="B67" s="392">
        <f>'Sources and Uses Budget'!C67</f>
        <v>105518</v>
      </c>
      <c r="C67" s="393">
        <f>B67</f>
        <v>105518</v>
      </c>
      <c r="D67" s="393"/>
      <c r="E67" s="392">
        <f>'Sources and Uses Budget'!S67</f>
        <v>26380</v>
      </c>
      <c r="F67" s="393">
        <f>E67</f>
        <v>26380</v>
      </c>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354214</v>
      </c>
      <c r="C70" s="392">
        <f>SUM(C64:C69)</f>
        <v>354214</v>
      </c>
      <c r="D70" s="392">
        <f>SUM(D64:D69)</f>
        <v>0</v>
      </c>
      <c r="E70" s="392">
        <f>'Sources and Uses Budget'!S70</f>
        <v>129524.5</v>
      </c>
      <c r="F70" s="398">
        <f>SUM(F65:F69)</f>
        <v>129524.5</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699961</v>
      </c>
      <c r="C75" s="393">
        <f>B75</f>
        <v>699961</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699961</v>
      </c>
      <c r="C77" s="392">
        <f>SUM(C72:C76)</f>
        <v>699961</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2932587</v>
      </c>
      <c r="C79" s="393">
        <f t="shared" ref="C79:C80" si="2">B79</f>
        <v>2932587</v>
      </c>
      <c r="D79" s="393"/>
      <c r="E79" s="392">
        <f>'Sources and Uses Budget'!S79</f>
        <v>2932587</v>
      </c>
      <c r="F79" s="393">
        <f t="shared" ref="F79:F80" si="3">E79</f>
        <v>2932587</v>
      </c>
      <c r="G79" s="393"/>
      <c r="H79" s="392">
        <f>'Sources and Uses Budget'!T79</f>
        <v>0</v>
      </c>
      <c r="I79" s="393"/>
      <c r="J79" s="393"/>
      <c r="K79" s="390"/>
    </row>
    <row r="80" spans="1:11" s="391" customFormat="1">
      <c r="A80" s="395" t="s">
        <v>58</v>
      </c>
      <c r="B80" s="392">
        <f>'Sources and Uses Budget'!C80</f>
        <v>498893</v>
      </c>
      <c r="C80" s="393">
        <f t="shared" si="2"/>
        <v>498893</v>
      </c>
      <c r="D80" s="393"/>
      <c r="E80" s="392">
        <f>'Sources and Uses Budget'!S80</f>
        <v>498893</v>
      </c>
      <c r="F80" s="393">
        <f t="shared" si="3"/>
        <v>498893</v>
      </c>
      <c r="G80" s="393"/>
      <c r="H80" s="392">
        <f>'Sources and Uses Budget'!T80</f>
        <v>0</v>
      </c>
      <c r="I80" s="393"/>
      <c r="J80" s="393"/>
      <c r="K80" s="390"/>
    </row>
    <row r="81" spans="1:11" s="391" customFormat="1">
      <c r="A81" s="396" t="s">
        <v>1316</v>
      </c>
      <c r="B81" s="392">
        <f>'Sources and Uses Budget'!C81</f>
        <v>3431480</v>
      </c>
      <c r="C81" s="392">
        <f>SUM(C79:C80)</f>
        <v>3431480</v>
      </c>
      <c r="D81" s="392">
        <f>SUM(D79:D80)</f>
        <v>0</v>
      </c>
      <c r="E81" s="392">
        <f>'Sources and Uses Budget'!S81</f>
        <v>3431480</v>
      </c>
      <c r="F81" s="392">
        <f>SUM(F79:F80)</f>
        <v>3431480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2407</v>
      </c>
      <c r="B83" s="392">
        <f>'Sources and Uses Budget'!C83</f>
        <v>317000</v>
      </c>
      <c r="C83" s="393">
        <f>B83</f>
        <v>317000</v>
      </c>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4109288.5</v>
      </c>
      <c r="C85" s="393">
        <f t="shared" ref="C85:C86" si="4">B85</f>
        <v>4109288.5</v>
      </c>
      <c r="D85" s="393"/>
      <c r="E85" s="392">
        <f>'Sources and Uses Budget'!S85</f>
        <v>4109288.5</v>
      </c>
      <c r="F85" s="393">
        <f t="shared" ref="F85:F86" si="5">E85</f>
        <v>4109288.5</v>
      </c>
      <c r="G85" s="393"/>
      <c r="H85" s="392">
        <f>'Sources and Uses Budget'!T85</f>
        <v>0</v>
      </c>
      <c r="I85" s="393"/>
      <c r="J85" s="393"/>
      <c r="K85" s="390"/>
    </row>
    <row r="86" spans="1:11" s="391" customFormat="1">
      <c r="A86" s="145" t="s">
        <v>779</v>
      </c>
      <c r="B86" s="392">
        <f>'Sources and Uses Budget'!C86</f>
        <v>669073</v>
      </c>
      <c r="C86" s="393">
        <f t="shared" si="4"/>
        <v>669073</v>
      </c>
      <c r="D86" s="393"/>
      <c r="E86" s="392">
        <f>'Sources and Uses Budget'!S86</f>
        <v>669073</v>
      </c>
      <c r="F86" s="393">
        <f t="shared" si="5"/>
        <v>669073</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60000</v>
      </c>
      <c r="C88" s="393">
        <f t="shared" ref="C88:C94" si="6">B88</f>
        <v>60000</v>
      </c>
      <c r="D88" s="393"/>
      <c r="E88" s="394"/>
      <c r="F88" s="394"/>
      <c r="G88" s="394"/>
      <c r="H88" s="394"/>
      <c r="I88" s="394"/>
      <c r="J88" s="394"/>
      <c r="K88" s="390"/>
    </row>
    <row r="89" spans="1:11" s="391" customFormat="1">
      <c r="A89" s="145" t="s">
        <v>782</v>
      </c>
      <c r="B89" s="392">
        <f>'Sources and Uses Budget'!C89</f>
        <v>150000</v>
      </c>
      <c r="C89" s="393">
        <f t="shared" si="6"/>
        <v>150000</v>
      </c>
      <c r="D89" s="393"/>
      <c r="E89" s="392">
        <f>'Sources and Uses Budget'!S89</f>
        <v>150000</v>
      </c>
      <c r="F89" s="393">
        <f t="shared" ref="F89:F93" si="7">E89</f>
        <v>150000</v>
      </c>
      <c r="G89" s="393"/>
      <c r="H89" s="392">
        <f>'Sources and Uses Budget'!T89</f>
        <v>0</v>
      </c>
      <c r="I89" s="393"/>
      <c r="J89" s="393"/>
      <c r="K89" s="390"/>
    </row>
    <row r="90" spans="1:11" s="391" customFormat="1">
      <c r="A90" s="145" t="s">
        <v>783</v>
      </c>
      <c r="B90" s="392">
        <f>'Sources and Uses Budget'!C90</f>
        <v>12300</v>
      </c>
      <c r="C90" s="393">
        <f t="shared" si="6"/>
        <v>12300</v>
      </c>
      <c r="D90" s="393"/>
      <c r="E90" s="392">
        <f>'Sources and Uses Budget'!S90</f>
        <v>12300</v>
      </c>
      <c r="F90" s="393">
        <f t="shared" si="7"/>
        <v>12300</v>
      </c>
      <c r="G90" s="393"/>
      <c r="H90" s="392">
        <f>'Sources and Uses Budget'!T90</f>
        <v>0</v>
      </c>
      <c r="I90" s="393"/>
      <c r="J90" s="393"/>
      <c r="K90" s="390"/>
    </row>
    <row r="91" spans="1:11" s="391" customFormat="1">
      <c r="A91" s="155" t="s">
        <v>373</v>
      </c>
      <c r="B91" s="392">
        <f>'Sources and Uses Budget'!C91</f>
        <v>25000</v>
      </c>
      <c r="C91" s="393">
        <f t="shared" si="6"/>
        <v>25000</v>
      </c>
      <c r="D91" s="393"/>
      <c r="E91" s="392">
        <f>'Sources and Uses Budget'!S91</f>
        <v>25000</v>
      </c>
      <c r="F91" s="393">
        <f t="shared" si="7"/>
        <v>25000</v>
      </c>
      <c r="G91" s="393"/>
      <c r="H91" s="392">
        <f>'Sources and Uses Budget'!T91</f>
        <v>0</v>
      </c>
      <c r="I91" s="393"/>
      <c r="J91" s="393"/>
      <c r="K91" s="390"/>
    </row>
    <row r="92" spans="1:11" s="391" customFormat="1">
      <c r="A92" s="542" t="s">
        <v>1318</v>
      </c>
      <c r="B92" s="392">
        <f>'Sources and Uses Budget'!C92</f>
        <v>12800</v>
      </c>
      <c r="C92" s="393">
        <f t="shared" si="6"/>
        <v>12800</v>
      </c>
      <c r="D92" s="393"/>
      <c r="E92" s="392">
        <f>'Sources and Uses Budget'!S92</f>
        <v>12800</v>
      </c>
      <c r="F92" s="393">
        <f t="shared" si="7"/>
        <v>12800</v>
      </c>
      <c r="G92" s="393"/>
      <c r="H92" s="392">
        <f>'Sources and Uses Budget'!T92</f>
        <v>0</v>
      </c>
      <c r="I92" s="393"/>
      <c r="J92" s="393"/>
      <c r="K92" s="390"/>
    </row>
    <row r="93" spans="1:11" s="391" customFormat="1">
      <c r="A93" s="395" t="str">
        <f>'Sources and Uses Budget'!$A93</f>
        <v>Other: Admin, Repro &amp; Reimbursement</v>
      </c>
      <c r="B93" s="392">
        <f>'Sources and Uses Budget'!C93</f>
        <v>25000</v>
      </c>
      <c r="C93" s="393">
        <f t="shared" si="6"/>
        <v>25000</v>
      </c>
      <c r="D93" s="393"/>
      <c r="E93" s="392">
        <f>'Sources and Uses Budget'!S93</f>
        <v>25000</v>
      </c>
      <c r="F93" s="393">
        <f t="shared" si="7"/>
        <v>25000</v>
      </c>
      <c r="G93" s="393"/>
      <c r="H93" s="392">
        <f>'Sources and Uses Budget'!T93</f>
        <v>0</v>
      </c>
      <c r="I93" s="393"/>
      <c r="J93" s="393"/>
      <c r="K93" s="390"/>
    </row>
    <row r="94" spans="1:11" s="391" customFormat="1">
      <c r="A94" s="395" t="str">
        <f>'Sources and Uses Budget'!$A94</f>
        <v>Other: Aegon AM Fee</v>
      </c>
      <c r="B94" s="392">
        <f>'Sources and Uses Budget'!C94</f>
        <v>7727</v>
      </c>
      <c r="C94" s="393">
        <f t="shared" si="6"/>
        <v>7727</v>
      </c>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5388188.5</v>
      </c>
      <c r="C96" s="392">
        <f>SUM(C83:C95)</f>
        <v>5388188.5</v>
      </c>
      <c r="D96" s="392">
        <f>SUM(D83:D95)</f>
        <v>0</v>
      </c>
      <c r="E96" s="392">
        <f>'Sources and Uses Budget'!S96</f>
        <v>5003461.5</v>
      </c>
      <c r="F96" s="398">
        <f>SUM(F84:F87,F89:F95)</f>
        <v>5003461.5</v>
      </c>
      <c r="G96" s="398">
        <f>SUM(G84:G87,G89:G95)</f>
        <v>0</v>
      </c>
      <c r="H96" s="392">
        <f>'Sources and Uses Budget'!T96</f>
        <v>0</v>
      </c>
      <c r="I96" s="392">
        <f>SUM(I84:I87,I89:I95)</f>
        <v>0</v>
      </c>
      <c r="J96" s="392">
        <f>SUM(J84:J87,J89:J95)</f>
        <v>0</v>
      </c>
      <c r="K96" s="390"/>
    </row>
    <row r="97" spans="1:11" s="391" customFormat="1">
      <c r="A97" s="396" t="s">
        <v>1054</v>
      </c>
      <c r="B97" s="392">
        <f>'Sources and Uses Budget'!C97</f>
        <v>87034771.180000007</v>
      </c>
      <c r="C97" s="392">
        <f>SUM(C63+C70+C77+C81+C96)</f>
        <v>87034771.180000007</v>
      </c>
      <c r="D97" s="392">
        <f>SUM(D63+D70+D77+D81+D96)</f>
        <v>0</v>
      </c>
      <c r="E97" s="392">
        <f>'Sources and Uses Budget'!S97</f>
        <v>78108677.079999998</v>
      </c>
      <c r="F97" s="398">
        <f>SUM(+F63+F70+F81+F96)</f>
        <v>78108677.079999998</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15621735.4</v>
      </c>
      <c r="C99" s="393">
        <f>B99</f>
        <v>15621735.4</v>
      </c>
      <c r="D99" s="393"/>
      <c r="E99" s="392">
        <f>'Sources and Uses Budget'!S99</f>
        <v>15621735.4</v>
      </c>
      <c r="F99" s="393">
        <f>E99</f>
        <v>15621735.4</v>
      </c>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15621735.4</v>
      </c>
      <c r="C104" s="392">
        <f>SUM(C99:C103)</f>
        <v>15621735.4</v>
      </c>
      <c r="D104" s="392">
        <f>SUM(D99:D103)</f>
        <v>0</v>
      </c>
      <c r="E104" s="392">
        <f>'Sources and Uses Budget'!S104</f>
        <v>15621735.4</v>
      </c>
      <c r="F104" s="398">
        <f>SUM(F99:F103)</f>
        <v>15621735.4</v>
      </c>
      <c r="G104" s="398">
        <f>SUM(G99:G103)</f>
        <v>0</v>
      </c>
      <c r="H104" s="392">
        <f>'Sources and Uses Budget'!T104</f>
        <v>0</v>
      </c>
      <c r="I104" s="398">
        <f>SUM(I99:I103)</f>
        <v>0</v>
      </c>
      <c r="J104" s="398">
        <f>SUM(J99:J103)</f>
        <v>0</v>
      </c>
      <c r="K104" s="390"/>
    </row>
    <row r="105" spans="1:11" s="391" customFormat="1">
      <c r="A105" s="396" t="s">
        <v>1055</v>
      </c>
      <c r="B105" s="392">
        <f>'Sources and Uses Budget'!C105</f>
        <v>102656506.58000001</v>
      </c>
      <c r="C105" s="398">
        <f>SUM(C97+C104)</f>
        <v>102656506.58000001</v>
      </c>
      <c r="D105" s="398">
        <f>SUM(D97+D104)</f>
        <v>0</v>
      </c>
      <c r="E105" s="392">
        <f>'Sources and Uses Budget'!S105</f>
        <v>93730412.480000004</v>
      </c>
      <c r="F105" s="398">
        <f>F97+F104</f>
        <v>93730412.480000004</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93730412.480000004</v>
      </c>
      <c r="F107" s="398">
        <f>F105+F106</f>
        <v>93730412.480000004</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9"/>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0"/>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8" workbookViewId="0">
      <selection activeCell="H674" sqref="H674:I67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6" t="s">
        <v>1412</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row>
    <row r="2" spans="1:42" s="570" customFormat="1" ht="12.75" customHeight="1" thickBot="1">
      <c r="A2" s="1927"/>
      <c r="B2" s="1927"/>
      <c r="C2" s="1927"/>
      <c r="D2" s="1927"/>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G2" s="1927"/>
      <c r="AH2" s="1927"/>
      <c r="AI2" s="1927"/>
      <c r="AJ2" s="1927"/>
      <c r="AK2" s="1927"/>
      <c r="AL2" s="1927"/>
      <c r="AM2" s="192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0" t="s">
        <v>1417</v>
      </c>
      <c r="AF7" s="1910"/>
      <c r="AG7" s="1910"/>
      <c r="AH7" s="1910"/>
      <c r="AI7" s="1910"/>
      <c r="AJ7" s="1910"/>
      <c r="AK7" s="1910"/>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0" t="s">
        <v>600</v>
      </c>
      <c r="C13" s="1900"/>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8"/>
      <c r="AH13" s="1928"/>
      <c r="AI13" s="1928"/>
      <c r="AJ13" s="192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0" t="s">
        <v>600</v>
      </c>
      <c r="C16" s="1900"/>
      <c r="D16" s="581"/>
      <c r="E16" s="1911" t="s">
        <v>1419</v>
      </c>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3"/>
      <c r="AK16" s="574"/>
      <c r="AL16" s="574"/>
      <c r="AM16" s="574"/>
      <c r="AN16" s="569"/>
      <c r="AO16" s="584">
        <f>IF($B25="yes",20,0)</f>
        <v>0</v>
      </c>
      <c r="AP16" s="14"/>
    </row>
    <row r="17" spans="1:42" s="570" customFormat="1" ht="12.75" customHeight="1">
      <c r="A17" s="574"/>
      <c r="B17" s="574"/>
      <c r="C17" s="574"/>
      <c r="D17" s="585"/>
      <c r="E17" s="1914"/>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6"/>
      <c r="AK17" s="574"/>
      <c r="AL17" s="574"/>
      <c r="AM17" s="574"/>
      <c r="AN17" s="569"/>
      <c r="AO17" s="570">
        <f>IF(SUM(AO13:AO16)&gt;20,20,(SUM(AO13:AO16)))</f>
        <v>0</v>
      </c>
      <c r="AP17" s="570" t="s">
        <v>1420</v>
      </c>
    </row>
    <row r="18" spans="1:42" s="570" customFormat="1" ht="12.75" customHeight="1">
      <c r="A18" s="574"/>
      <c r="B18" s="574"/>
      <c r="C18" s="574"/>
      <c r="D18" s="585"/>
      <c r="E18" s="1914"/>
      <c r="F18" s="1915"/>
      <c r="G18" s="1915"/>
      <c r="H18" s="1915"/>
      <c r="I18" s="1915"/>
      <c r="J18" s="1915"/>
      <c r="K18" s="1915"/>
      <c r="L18" s="1915"/>
      <c r="M18" s="1915"/>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6"/>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9"/>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0" t="s">
        <v>600</v>
      </c>
      <c r="C22" s="1900"/>
      <c r="D22" s="581"/>
      <c r="E22" s="1933" t="s">
        <v>1422</v>
      </c>
      <c r="F22" s="1934"/>
      <c r="G22" s="1934"/>
      <c r="H22" s="1934"/>
      <c r="I22" s="1934"/>
      <c r="J22" s="1934"/>
      <c r="K22" s="1934"/>
      <c r="L22" s="1934"/>
      <c r="M22" s="1934"/>
      <c r="N22" s="1934"/>
      <c r="O22" s="1934"/>
      <c r="P22" s="1934"/>
      <c r="Q22" s="1934"/>
      <c r="R22" s="1934"/>
      <c r="S22" s="1934"/>
      <c r="T22" s="1934"/>
      <c r="U22" s="1934"/>
      <c r="V22" s="1934"/>
      <c r="W22" s="1934"/>
      <c r="X22" s="1934"/>
      <c r="Y22" s="1934"/>
      <c r="Z22" s="1934"/>
      <c r="AA22" s="1934"/>
      <c r="AB22" s="1934"/>
      <c r="AC22" s="1934"/>
      <c r="AD22" s="1934"/>
      <c r="AE22" s="1934"/>
      <c r="AF22" s="1934"/>
      <c r="AG22" s="1934"/>
      <c r="AH22" s="1934"/>
      <c r="AI22" s="1934"/>
      <c r="AJ22" s="1935"/>
      <c r="AK22" s="574"/>
      <c r="AL22" s="574"/>
      <c r="AM22" s="574"/>
      <c r="AN22" s="569"/>
      <c r="AO22" s="570">
        <f>IF(SUM(AO20:AO21)&gt;14,14,SUM(AO20:AO21))</f>
        <v>0</v>
      </c>
      <c r="AP22" s="570" t="s">
        <v>1420</v>
      </c>
    </row>
    <row r="23" spans="1:42" s="570" customFormat="1" ht="12.75" customHeight="1">
      <c r="A23" s="574"/>
      <c r="B23" s="574"/>
      <c r="C23" s="574"/>
      <c r="D23" s="584"/>
      <c r="E23" s="1936"/>
      <c r="F23" s="1937"/>
      <c r="G23" s="1937"/>
      <c r="H23" s="1937"/>
      <c r="I23" s="1937"/>
      <c r="J23" s="1937"/>
      <c r="K23" s="1937"/>
      <c r="L23" s="1937"/>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0" t="s">
        <v>600</v>
      </c>
      <c r="C25" s="1900"/>
      <c r="D25" s="581"/>
      <c r="E25" s="1901" t="s">
        <v>2344</v>
      </c>
      <c r="F25" s="1902"/>
      <c r="G25" s="1902"/>
      <c r="H25" s="1902"/>
      <c r="I25" s="1902"/>
      <c r="J25" s="1902"/>
      <c r="K25" s="1902"/>
      <c r="L25" s="1902"/>
      <c r="M25" s="1902"/>
      <c r="N25" s="1902"/>
      <c r="O25" s="1902"/>
      <c r="P25" s="1902"/>
      <c r="Q25" s="1902"/>
      <c r="R25" s="1902"/>
      <c r="S25" s="1902"/>
      <c r="T25" s="1902"/>
      <c r="U25" s="1902"/>
      <c r="V25" s="1902"/>
      <c r="W25" s="1902"/>
      <c r="X25" s="1902"/>
      <c r="Y25" s="1902"/>
      <c r="Z25" s="1902"/>
      <c r="AA25" s="1902"/>
      <c r="AB25" s="1902"/>
      <c r="AC25" s="1902"/>
      <c r="AD25" s="1902"/>
      <c r="AE25" s="1902"/>
      <c r="AF25" s="1902"/>
      <c r="AG25" s="1902"/>
      <c r="AH25" s="1902"/>
      <c r="AI25" s="1902"/>
      <c r="AJ25" s="1903"/>
      <c r="AK25" s="574"/>
      <c r="AL25" s="574"/>
      <c r="AM25" s="574"/>
      <c r="AN25" s="569"/>
      <c r="AO25" s="570">
        <f>IF(AO24&gt;6,6,AO24)</f>
        <v>0</v>
      </c>
      <c r="AP25" s="570" t="s">
        <v>1420</v>
      </c>
    </row>
    <row r="26" spans="1:42" s="570" customFormat="1" ht="12.75" customHeight="1">
      <c r="A26" s="574"/>
      <c r="B26" s="574"/>
      <c r="C26" s="574"/>
      <c r="D26" s="584"/>
      <c r="E26" s="1904"/>
      <c r="F26" s="1905"/>
      <c r="G26" s="1905"/>
      <c r="H26" s="1905"/>
      <c r="I26" s="1905"/>
      <c r="J26" s="1905"/>
      <c r="K26" s="1905"/>
      <c r="L26" s="1905"/>
      <c r="M26" s="1905"/>
      <c r="N26" s="1905"/>
      <c r="O26" s="1905"/>
      <c r="P26" s="1905"/>
      <c r="Q26" s="1905"/>
      <c r="R26" s="1905"/>
      <c r="S26" s="1905"/>
      <c r="T26" s="1905"/>
      <c r="U26" s="1905"/>
      <c r="V26" s="1905"/>
      <c r="W26" s="1905"/>
      <c r="X26" s="1905"/>
      <c r="Y26" s="1905"/>
      <c r="Z26" s="1905"/>
      <c r="AA26" s="1905"/>
      <c r="AB26" s="1905"/>
      <c r="AC26" s="1905"/>
      <c r="AD26" s="1905"/>
      <c r="AE26" s="1905"/>
      <c r="AF26" s="1905"/>
      <c r="AG26" s="1905"/>
      <c r="AH26" s="1905"/>
      <c r="AI26" s="1905"/>
      <c r="AJ26" s="190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00" t="s">
        <v>600</v>
      </c>
      <c r="C30" s="1900"/>
      <c r="D30" s="581"/>
      <c r="E30" s="1933" t="s">
        <v>2316</v>
      </c>
      <c r="F30" s="1934"/>
      <c r="G30" s="1934"/>
      <c r="H30" s="1934"/>
      <c r="I30" s="1934"/>
      <c r="J30" s="1934"/>
      <c r="K30" s="1934"/>
      <c r="L30" s="1934"/>
      <c r="M30" s="1934"/>
      <c r="N30" s="1934"/>
      <c r="O30" s="1934"/>
      <c r="P30" s="1934"/>
      <c r="Q30" s="1934"/>
      <c r="R30" s="1934"/>
      <c r="S30" s="1934"/>
      <c r="T30" s="1934"/>
      <c r="U30" s="1934"/>
      <c r="V30" s="1934"/>
      <c r="W30" s="1934"/>
      <c r="X30" s="1934"/>
      <c r="Y30" s="1934"/>
      <c r="Z30" s="1934"/>
      <c r="AA30" s="1934"/>
      <c r="AB30" s="1934"/>
      <c r="AC30" s="1934"/>
      <c r="AD30" s="1934"/>
      <c r="AE30" s="1934"/>
      <c r="AF30" s="1934"/>
      <c r="AG30" s="1934"/>
      <c r="AH30" s="1934"/>
      <c r="AI30" s="1934"/>
      <c r="AJ30" s="1935"/>
      <c r="AK30" s="574"/>
      <c r="AL30" s="574"/>
      <c r="AM30" s="574"/>
      <c r="AN30" s="569"/>
      <c r="AO30" s="584"/>
    </row>
    <row r="31" spans="1:42" s="570" customFormat="1" ht="12.75" customHeight="1">
      <c r="A31" s="574"/>
      <c r="B31" s="574"/>
      <c r="C31" s="574"/>
      <c r="E31" s="1936"/>
      <c r="F31" s="1937"/>
      <c r="G31" s="1937"/>
      <c r="H31" s="1937"/>
      <c r="I31" s="1937"/>
      <c r="J31" s="1937"/>
      <c r="K31" s="1937"/>
      <c r="L31" s="1937"/>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0" t="s">
        <v>600</v>
      </c>
      <c r="C33" s="1900"/>
      <c r="D33" s="581"/>
      <c r="E33" s="1901" t="s">
        <v>2317</v>
      </c>
      <c r="F33" s="1902"/>
      <c r="G33" s="1902"/>
      <c r="H33" s="1902"/>
      <c r="I33" s="1902"/>
      <c r="J33" s="1902"/>
      <c r="K33" s="1902"/>
      <c r="L33" s="1902"/>
      <c r="M33" s="1902"/>
      <c r="N33" s="1902"/>
      <c r="O33" s="1902"/>
      <c r="P33" s="1902"/>
      <c r="Q33" s="1902"/>
      <c r="R33" s="1902"/>
      <c r="S33" s="1902"/>
      <c r="T33" s="1902"/>
      <c r="U33" s="1902"/>
      <c r="V33" s="1902"/>
      <c r="W33" s="1902"/>
      <c r="X33" s="1902"/>
      <c r="Y33" s="1902"/>
      <c r="Z33" s="1902"/>
      <c r="AA33" s="1902"/>
      <c r="AB33" s="1902"/>
      <c r="AC33" s="1902"/>
      <c r="AD33" s="1902"/>
      <c r="AE33" s="1902"/>
      <c r="AF33" s="1902"/>
      <c r="AG33" s="1902"/>
      <c r="AH33" s="1902"/>
      <c r="AI33" s="1902"/>
      <c r="AJ33" s="1903"/>
      <c r="AK33" s="574"/>
      <c r="AL33" s="574"/>
      <c r="AM33" s="574"/>
      <c r="AN33" s="569"/>
    </row>
    <row r="34" spans="1:41" s="570" customFormat="1" ht="12.75" customHeight="1">
      <c r="A34" s="574"/>
      <c r="B34" s="574"/>
      <c r="C34" s="574"/>
      <c r="E34" s="1907"/>
      <c r="F34" s="1908"/>
      <c r="G34" s="1908"/>
      <c r="H34" s="1908"/>
      <c r="I34" s="1908"/>
      <c r="J34" s="1908"/>
      <c r="K34" s="1908"/>
      <c r="L34" s="1908"/>
      <c r="M34" s="1908"/>
      <c r="N34" s="1908"/>
      <c r="O34" s="1908"/>
      <c r="P34" s="1908"/>
      <c r="Q34" s="1908"/>
      <c r="R34" s="1908"/>
      <c r="S34" s="1908"/>
      <c r="T34" s="1908"/>
      <c r="U34" s="1908"/>
      <c r="V34" s="1908"/>
      <c r="W34" s="1908"/>
      <c r="X34" s="1908"/>
      <c r="Y34" s="1908"/>
      <c r="Z34" s="1908"/>
      <c r="AA34" s="1908"/>
      <c r="AB34" s="1908"/>
      <c r="AC34" s="1908"/>
      <c r="AD34" s="1908"/>
      <c r="AE34" s="1908"/>
      <c r="AF34" s="1908"/>
      <c r="AG34" s="1908"/>
      <c r="AH34" s="1908"/>
      <c r="AI34" s="1908"/>
      <c r="AJ34" s="1909"/>
      <c r="AK34" s="574"/>
      <c r="AL34" s="574"/>
      <c r="AM34" s="574"/>
      <c r="AN34" s="569"/>
    </row>
    <row r="35" spans="1:41" s="570" customFormat="1" ht="12.75" customHeight="1">
      <c r="A35" s="574"/>
      <c r="B35" s="574"/>
      <c r="C35" s="574"/>
      <c r="E35" s="1904"/>
      <c r="F35" s="1905"/>
      <c r="G35" s="1905"/>
      <c r="H35" s="1905"/>
      <c r="I35" s="1905"/>
      <c r="J35" s="1905"/>
      <c r="K35" s="1905"/>
      <c r="L35" s="1905"/>
      <c r="M35" s="1905"/>
      <c r="N35" s="1905"/>
      <c r="O35" s="1905"/>
      <c r="P35" s="1905"/>
      <c r="Q35" s="1905"/>
      <c r="R35" s="1905"/>
      <c r="S35" s="1905"/>
      <c r="T35" s="1905"/>
      <c r="U35" s="1905"/>
      <c r="V35" s="1905"/>
      <c r="W35" s="1905"/>
      <c r="X35" s="1905"/>
      <c r="Y35" s="1905"/>
      <c r="Z35" s="1905"/>
      <c r="AA35" s="1905"/>
      <c r="AB35" s="1905"/>
      <c r="AC35" s="1905"/>
      <c r="AD35" s="1905"/>
      <c r="AE35" s="1905"/>
      <c r="AF35" s="1905"/>
      <c r="AG35" s="1905"/>
      <c r="AH35" s="1905"/>
      <c r="AI35" s="1905"/>
      <c r="AJ35" s="190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0" t="s">
        <v>600</v>
      </c>
      <c r="C39" s="1900"/>
      <c r="D39" s="1186"/>
      <c r="E39" s="1901" t="s">
        <v>2318</v>
      </c>
      <c r="F39" s="1902"/>
      <c r="G39" s="1902"/>
      <c r="H39" s="1902"/>
      <c r="I39" s="1902"/>
      <c r="J39" s="1902"/>
      <c r="K39" s="1902"/>
      <c r="L39" s="1902"/>
      <c r="M39" s="1902"/>
      <c r="N39" s="1902"/>
      <c r="O39" s="1902"/>
      <c r="P39" s="1902"/>
      <c r="Q39" s="1902"/>
      <c r="R39" s="1902"/>
      <c r="S39" s="1902"/>
      <c r="T39" s="1902"/>
      <c r="U39" s="1902"/>
      <c r="V39" s="1902"/>
      <c r="W39" s="1902"/>
      <c r="X39" s="1902"/>
      <c r="Y39" s="1902"/>
      <c r="Z39" s="1902"/>
      <c r="AA39" s="1902"/>
      <c r="AB39" s="1902"/>
      <c r="AC39" s="1902"/>
      <c r="AD39" s="1902"/>
      <c r="AE39" s="1902"/>
      <c r="AF39" s="1902"/>
      <c r="AG39" s="1902"/>
      <c r="AH39" s="1902"/>
      <c r="AI39" s="1902"/>
      <c r="AJ39" s="1903"/>
      <c r="AK39" s="1186"/>
      <c r="AL39" s="574"/>
      <c r="AM39" s="574"/>
      <c r="AN39" s="569"/>
    </row>
    <row r="40" spans="1:41" s="570" customFormat="1" ht="12.75" customHeight="1">
      <c r="A40" s="574"/>
      <c r="B40" s="574"/>
      <c r="C40" s="574"/>
      <c r="E40" s="1907"/>
      <c r="F40" s="1908"/>
      <c r="G40" s="1908"/>
      <c r="H40" s="1908"/>
      <c r="I40" s="1908"/>
      <c r="J40" s="1908"/>
      <c r="K40" s="1908"/>
      <c r="L40" s="1908"/>
      <c r="M40" s="1908"/>
      <c r="N40" s="1908"/>
      <c r="O40" s="1908"/>
      <c r="P40" s="1908"/>
      <c r="Q40" s="1908"/>
      <c r="R40" s="1908"/>
      <c r="S40" s="1908"/>
      <c r="T40" s="1908"/>
      <c r="U40" s="1908"/>
      <c r="V40" s="1908"/>
      <c r="W40" s="1908"/>
      <c r="X40" s="1908"/>
      <c r="Y40" s="1908"/>
      <c r="Z40" s="1908"/>
      <c r="AA40" s="1908"/>
      <c r="AB40" s="1908"/>
      <c r="AC40" s="1908"/>
      <c r="AD40" s="1908"/>
      <c r="AE40" s="1908"/>
      <c r="AF40" s="1908"/>
      <c r="AG40" s="1908"/>
      <c r="AH40" s="1908"/>
      <c r="AI40" s="1908"/>
      <c r="AJ40" s="1909"/>
      <c r="AK40" s="574"/>
      <c r="AL40" s="574"/>
      <c r="AM40" s="574"/>
      <c r="AN40" s="569"/>
    </row>
    <row r="41" spans="1:41" s="570" customFormat="1" ht="12.75" customHeight="1">
      <c r="A41" s="574"/>
      <c r="D41" s="581"/>
      <c r="E41" s="1904"/>
      <c r="F41" s="1905"/>
      <c r="G41" s="1905"/>
      <c r="H41" s="1905"/>
      <c r="I41" s="1905"/>
      <c r="J41" s="1905"/>
      <c r="K41" s="1905"/>
      <c r="L41" s="1905"/>
      <c r="M41" s="1905"/>
      <c r="N41" s="1905"/>
      <c r="O41" s="1905"/>
      <c r="P41" s="1905"/>
      <c r="Q41" s="1905"/>
      <c r="R41" s="1905"/>
      <c r="S41" s="1905"/>
      <c r="T41" s="1905"/>
      <c r="U41" s="1905"/>
      <c r="V41" s="1905"/>
      <c r="W41" s="1905"/>
      <c r="X41" s="1905"/>
      <c r="Y41" s="1905"/>
      <c r="Z41" s="1905"/>
      <c r="AA41" s="1905"/>
      <c r="AB41" s="1905"/>
      <c r="AC41" s="1905"/>
      <c r="AD41" s="1905"/>
      <c r="AE41" s="1905"/>
      <c r="AF41" s="1905"/>
      <c r="AG41" s="1905"/>
      <c r="AH41" s="1905"/>
      <c r="AI41" s="1905"/>
      <c r="AJ41" s="190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0" t="s">
        <v>600</v>
      </c>
      <c r="C46" s="1900"/>
      <c r="D46" s="574"/>
      <c r="E46" s="1901" t="s">
        <v>2323</v>
      </c>
      <c r="F46" s="1902"/>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3"/>
      <c r="AK46" s="574"/>
      <c r="AL46" s="574"/>
      <c r="AM46" s="574"/>
      <c r="AN46" s="569"/>
      <c r="AO46" s="593"/>
    </row>
    <row r="47" spans="1:41" s="570" customFormat="1" ht="12.75" customHeight="1">
      <c r="A47" s="574"/>
      <c r="D47" s="581"/>
      <c r="E47" s="1907"/>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9"/>
      <c r="AK47" s="574"/>
      <c r="AL47" s="574"/>
      <c r="AM47" s="574"/>
      <c r="AN47" s="569"/>
      <c r="AO47" s="593"/>
    </row>
    <row r="48" spans="1:41" s="570" customFormat="1" ht="12.75" customHeight="1">
      <c r="A48" s="574"/>
      <c r="D48" s="574"/>
      <c r="E48" s="1904"/>
      <c r="F48" s="1905"/>
      <c r="G48" s="1905"/>
      <c r="H48" s="1905"/>
      <c r="I48" s="1905"/>
      <c r="J48" s="1905"/>
      <c r="K48" s="1905"/>
      <c r="L48" s="1905"/>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0" t="s">
        <v>600</v>
      </c>
      <c r="C50" s="1900"/>
      <c r="D50" s="574"/>
      <c r="E50" s="1921" t="s">
        <v>2324</v>
      </c>
      <c r="F50" s="1922"/>
      <c r="G50" s="1922"/>
      <c r="H50" s="1922"/>
      <c r="I50" s="1922"/>
      <c r="J50" s="1922"/>
      <c r="K50" s="1922"/>
      <c r="L50" s="1922"/>
      <c r="M50" s="1922"/>
      <c r="N50" s="1922"/>
      <c r="O50" s="1922"/>
      <c r="P50" s="1922"/>
      <c r="Q50" s="1922"/>
      <c r="R50" s="1922"/>
      <c r="S50" s="1922"/>
      <c r="T50" s="1922"/>
      <c r="U50" s="1922"/>
      <c r="V50" s="1922"/>
      <c r="W50" s="1922"/>
      <c r="X50" s="1922"/>
      <c r="Y50" s="1922"/>
      <c r="Z50" s="1922"/>
      <c r="AA50" s="1922"/>
      <c r="AB50" s="1922"/>
      <c r="AC50" s="1922"/>
      <c r="AD50" s="1922"/>
      <c r="AE50" s="1922"/>
      <c r="AF50" s="1922"/>
      <c r="AG50" s="1922"/>
      <c r="AH50" s="1922"/>
      <c r="AI50" s="1922"/>
      <c r="AJ50" s="192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0" t="s">
        <v>600</v>
      </c>
      <c r="C52" s="1900"/>
      <c r="D52" s="574"/>
      <c r="E52" s="1901" t="s">
        <v>2325</v>
      </c>
      <c r="F52" s="1902"/>
      <c r="G52" s="1902"/>
      <c r="H52" s="1902"/>
      <c r="I52" s="1902"/>
      <c r="J52" s="1902"/>
      <c r="K52" s="1902"/>
      <c r="L52" s="1902"/>
      <c r="M52" s="1902"/>
      <c r="N52" s="1902"/>
      <c r="O52" s="1902"/>
      <c r="P52" s="1902"/>
      <c r="Q52" s="1902"/>
      <c r="R52" s="1902"/>
      <c r="S52" s="1902"/>
      <c r="T52" s="1902"/>
      <c r="U52" s="1902"/>
      <c r="V52" s="1902"/>
      <c r="W52" s="1902"/>
      <c r="X52" s="1902"/>
      <c r="Y52" s="1902"/>
      <c r="Z52" s="1902"/>
      <c r="AA52" s="1902"/>
      <c r="AB52" s="1902"/>
      <c r="AC52" s="1902"/>
      <c r="AD52" s="1902"/>
      <c r="AE52" s="1902"/>
      <c r="AF52" s="1902"/>
      <c r="AG52" s="1902"/>
      <c r="AH52" s="1902"/>
      <c r="AI52" s="1902"/>
      <c r="AJ52" s="1903"/>
      <c r="AK52" s="574"/>
      <c r="AL52" s="574"/>
      <c r="AM52" s="574"/>
      <c r="AN52" s="569"/>
    </row>
    <row r="53" spans="1:50" s="570" customFormat="1" ht="12.75" customHeight="1">
      <c r="A53" s="574"/>
      <c r="B53" s="581"/>
      <c r="C53" s="581"/>
      <c r="D53" s="581"/>
      <c r="E53" s="1904"/>
      <c r="F53" s="1905"/>
      <c r="G53" s="1905"/>
      <c r="H53" s="1905"/>
      <c r="I53" s="1905"/>
      <c r="J53" s="1905"/>
      <c r="K53" s="1905"/>
      <c r="L53" s="1905"/>
      <c r="M53" s="1905"/>
      <c r="N53" s="1905"/>
      <c r="O53" s="1905"/>
      <c r="P53" s="1905"/>
      <c r="Q53" s="1905"/>
      <c r="R53" s="1905"/>
      <c r="S53" s="1905"/>
      <c r="T53" s="1905"/>
      <c r="U53" s="1905"/>
      <c r="V53" s="1905"/>
      <c r="W53" s="1905"/>
      <c r="X53" s="1905"/>
      <c r="Y53" s="1905"/>
      <c r="Z53" s="1905"/>
      <c r="AA53" s="1905"/>
      <c r="AB53" s="1905"/>
      <c r="AC53" s="1905"/>
      <c r="AD53" s="1905"/>
      <c r="AE53" s="1905"/>
      <c r="AF53" s="1905"/>
      <c r="AG53" s="1905"/>
      <c r="AH53" s="1905"/>
      <c r="AI53" s="1905"/>
      <c r="AJ53" s="190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30">
        <f>AO36</f>
        <v>0</v>
      </c>
      <c r="AL56" s="1931"/>
      <c r="AM56" s="193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0" t="s">
        <v>1426</v>
      </c>
      <c r="AF59" s="1910"/>
      <c r="AG59" s="1910"/>
      <c r="AH59" s="1910"/>
      <c r="AI59" s="1910"/>
      <c r="AJ59" s="1910"/>
      <c r="AK59" s="1910"/>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0" t="s">
        <v>554</v>
      </c>
      <c r="C62" s="1900"/>
      <c r="D62" s="581" t="s">
        <v>1427</v>
      </c>
      <c r="E62" s="1911" t="s">
        <v>2326</v>
      </c>
      <c r="F62" s="1912"/>
      <c r="G62" s="1912"/>
      <c r="H62" s="1912"/>
      <c r="I62" s="1912"/>
      <c r="J62" s="1912"/>
      <c r="K62" s="1912"/>
      <c r="L62" s="1912"/>
      <c r="M62" s="1912"/>
      <c r="N62" s="1912"/>
      <c r="O62" s="1912"/>
      <c r="P62" s="1912"/>
      <c r="Q62" s="1912"/>
      <c r="R62" s="1912"/>
      <c r="S62" s="1912"/>
      <c r="T62" s="1912"/>
      <c r="U62" s="1912"/>
      <c r="V62" s="1912"/>
      <c r="W62" s="1912"/>
      <c r="X62" s="1912"/>
      <c r="Y62" s="1912"/>
      <c r="Z62" s="1912"/>
      <c r="AA62" s="1912"/>
      <c r="AB62" s="1912"/>
      <c r="AC62" s="1912"/>
      <c r="AD62" s="1912"/>
      <c r="AE62" s="1912"/>
      <c r="AF62" s="1912"/>
      <c r="AG62" s="1912"/>
      <c r="AH62" s="1912"/>
      <c r="AI62" s="1912"/>
      <c r="AJ62" s="1913"/>
      <c r="AK62" s="577"/>
      <c r="AL62" s="574"/>
      <c r="AM62" s="574"/>
      <c r="AN62" s="569"/>
      <c r="AO62" s="584">
        <f>IF($B62="yes",10,0)</f>
        <v>10</v>
      </c>
    </row>
    <row r="63" spans="1:50" s="570" customFormat="1" ht="12.75" customHeight="1">
      <c r="A63" s="572"/>
      <c r="B63" s="574"/>
      <c r="C63" s="574"/>
      <c r="D63" s="585"/>
      <c r="E63" s="1914"/>
      <c r="F63" s="1915"/>
      <c r="G63" s="1915"/>
      <c r="H63" s="1915"/>
      <c r="I63" s="1915"/>
      <c r="J63" s="1915"/>
      <c r="K63" s="1915"/>
      <c r="L63" s="1915"/>
      <c r="M63" s="1915"/>
      <c r="N63" s="1915"/>
      <c r="O63" s="1915"/>
      <c r="P63" s="1915"/>
      <c r="Q63" s="1915"/>
      <c r="R63" s="1915"/>
      <c r="S63" s="1915"/>
      <c r="T63" s="1915"/>
      <c r="U63" s="1915"/>
      <c r="V63" s="1915"/>
      <c r="W63" s="1915"/>
      <c r="X63" s="1915"/>
      <c r="Y63" s="1915"/>
      <c r="Z63" s="1915"/>
      <c r="AA63" s="1915"/>
      <c r="AB63" s="1915"/>
      <c r="AC63" s="1915"/>
      <c r="AD63" s="1915"/>
      <c r="AE63" s="1915"/>
      <c r="AF63" s="1915"/>
      <c r="AG63" s="1915"/>
      <c r="AH63" s="1915"/>
      <c r="AI63" s="1915"/>
      <c r="AJ63" s="1916"/>
      <c r="AK63" s="577"/>
      <c r="AL63" s="574"/>
      <c r="AM63" s="574"/>
      <c r="AN63" s="569"/>
      <c r="AO63" s="584">
        <f>IF($B68="yes",10,0)</f>
        <v>0</v>
      </c>
    </row>
    <row r="64" spans="1:50" s="570" customFormat="1" ht="12.75" customHeight="1">
      <c r="A64" s="572"/>
      <c r="B64" s="574"/>
      <c r="C64" s="574"/>
      <c r="D64" s="585"/>
      <c r="E64" s="1914"/>
      <c r="F64" s="1915"/>
      <c r="G64" s="1915"/>
      <c r="H64" s="1915"/>
      <c r="I64" s="1915"/>
      <c r="J64" s="1915"/>
      <c r="K64" s="1915"/>
      <c r="L64" s="1915"/>
      <c r="M64" s="1915"/>
      <c r="N64" s="1915"/>
      <c r="O64" s="1915"/>
      <c r="P64" s="1915"/>
      <c r="Q64" s="1915"/>
      <c r="R64" s="1915"/>
      <c r="S64" s="1915"/>
      <c r="T64" s="1915"/>
      <c r="U64" s="1915"/>
      <c r="V64" s="1915"/>
      <c r="W64" s="1915"/>
      <c r="X64" s="1915"/>
      <c r="Y64" s="1915"/>
      <c r="Z64" s="1915"/>
      <c r="AA64" s="1915"/>
      <c r="AB64" s="1915"/>
      <c r="AC64" s="1915"/>
      <c r="AD64" s="1915"/>
      <c r="AE64" s="1915"/>
      <c r="AF64" s="1915"/>
      <c r="AG64" s="1915"/>
      <c r="AH64" s="1915"/>
      <c r="AI64" s="1915"/>
      <c r="AJ64" s="1916"/>
      <c r="AK64" s="577"/>
      <c r="AL64" s="574"/>
      <c r="AM64" s="574"/>
      <c r="AN64" s="569"/>
      <c r="AO64" s="584">
        <f>IF($B75="yes",10,0)</f>
        <v>0</v>
      </c>
    </row>
    <row r="65" spans="1:42" s="570" customFormat="1" ht="12.75" customHeight="1">
      <c r="A65" s="572"/>
      <c r="B65" s="574"/>
      <c r="C65" s="574"/>
      <c r="D65" s="585"/>
      <c r="E65" s="1914"/>
      <c r="F65" s="1915"/>
      <c r="G65" s="1915"/>
      <c r="H65" s="1915"/>
      <c r="I65" s="1915"/>
      <c r="J65" s="1915"/>
      <c r="K65" s="1915"/>
      <c r="L65" s="1915"/>
      <c r="M65" s="1915"/>
      <c r="N65" s="1915"/>
      <c r="O65" s="1915"/>
      <c r="P65" s="1915"/>
      <c r="Q65" s="1915"/>
      <c r="R65" s="1915"/>
      <c r="S65" s="1915"/>
      <c r="T65" s="1915"/>
      <c r="U65" s="1915"/>
      <c r="V65" s="1915"/>
      <c r="W65" s="1915"/>
      <c r="X65" s="1915"/>
      <c r="Y65" s="1915"/>
      <c r="Z65" s="1915"/>
      <c r="AA65" s="1915"/>
      <c r="AB65" s="1915"/>
      <c r="AC65" s="1915"/>
      <c r="AD65" s="1915"/>
      <c r="AE65" s="1915"/>
      <c r="AF65" s="1915"/>
      <c r="AG65" s="1915"/>
      <c r="AH65" s="1915"/>
      <c r="AI65" s="1915"/>
      <c r="AJ65" s="1916"/>
      <c r="AK65" s="577"/>
      <c r="AL65" s="574"/>
      <c r="AM65" s="574"/>
      <c r="AN65" s="569"/>
      <c r="AO65" s="570">
        <f>IF(SUM(AO62:AO64)&gt;10,10,(SUM(AO62:AO64)))</f>
        <v>10</v>
      </c>
      <c r="AP65" s="608" t="s">
        <v>1428</v>
      </c>
    </row>
    <row r="66" spans="1:42" s="570" customFormat="1" ht="12.75" customHeight="1">
      <c r="A66" s="572"/>
      <c r="B66" s="574"/>
      <c r="C66" s="574"/>
      <c r="D66" s="585"/>
      <c r="E66" s="1917"/>
      <c r="F66" s="1918"/>
      <c r="G66" s="1918"/>
      <c r="H66" s="1918"/>
      <c r="I66" s="1918"/>
      <c r="J66" s="1918"/>
      <c r="K66" s="1918"/>
      <c r="L66" s="1918"/>
      <c r="M66" s="1918"/>
      <c r="N66" s="1918"/>
      <c r="O66" s="1918"/>
      <c r="P66" s="1918"/>
      <c r="Q66" s="1918"/>
      <c r="R66" s="1918"/>
      <c r="S66" s="1918"/>
      <c r="T66" s="1918"/>
      <c r="U66" s="1918"/>
      <c r="V66" s="1918"/>
      <c r="W66" s="1918"/>
      <c r="X66" s="1918"/>
      <c r="Y66" s="1918"/>
      <c r="Z66" s="1918"/>
      <c r="AA66" s="1918"/>
      <c r="AB66" s="1918"/>
      <c r="AC66" s="1918"/>
      <c r="AD66" s="1918"/>
      <c r="AE66" s="1918"/>
      <c r="AF66" s="1918"/>
      <c r="AG66" s="1918"/>
      <c r="AH66" s="1918"/>
      <c r="AI66" s="1918"/>
      <c r="AJ66" s="191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0" t="s">
        <v>600</v>
      </c>
      <c r="C68" s="1900"/>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0" t="s">
        <v>600</v>
      </c>
      <c r="F69" s="1900"/>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8" t="s">
        <v>600</v>
      </c>
      <c r="F70" s="1899"/>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8" t="s">
        <v>600</v>
      </c>
      <c r="F71" s="1899"/>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0" t="s">
        <v>600</v>
      </c>
      <c r="F73" s="1900"/>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0" t="s">
        <v>600</v>
      </c>
      <c r="C75" s="1900"/>
      <c r="D75" s="581" t="s">
        <v>1432</v>
      </c>
      <c r="E75" s="1901" t="s">
        <v>1931</v>
      </c>
      <c r="F75" s="1902"/>
      <c r="G75" s="1902"/>
      <c r="H75" s="1902"/>
      <c r="I75" s="1902"/>
      <c r="J75" s="1902"/>
      <c r="K75" s="1902"/>
      <c r="L75" s="1902"/>
      <c r="M75" s="1902"/>
      <c r="N75" s="1902"/>
      <c r="O75" s="1902"/>
      <c r="P75" s="1902"/>
      <c r="Q75" s="1902"/>
      <c r="R75" s="1902"/>
      <c r="S75" s="1902"/>
      <c r="T75" s="1902"/>
      <c r="U75" s="1902"/>
      <c r="V75" s="1902"/>
      <c r="W75" s="1902"/>
      <c r="X75" s="1902"/>
      <c r="Y75" s="1902"/>
      <c r="Z75" s="1902"/>
      <c r="AA75" s="1902"/>
      <c r="AB75" s="1902"/>
      <c r="AC75" s="1902"/>
      <c r="AD75" s="1902"/>
      <c r="AE75" s="1902"/>
      <c r="AF75" s="1902"/>
      <c r="AG75" s="1902"/>
      <c r="AH75" s="1902"/>
      <c r="AI75" s="1902"/>
      <c r="AJ75" s="1903"/>
      <c r="AK75" s="577"/>
      <c r="AL75" s="574"/>
      <c r="AM75" s="574"/>
      <c r="AN75" s="569"/>
    </row>
    <row r="76" spans="1:42" s="570" customFormat="1" ht="12.75" customHeight="1">
      <c r="A76" s="572"/>
      <c r="B76" s="574"/>
      <c r="C76" s="574"/>
      <c r="D76" s="584"/>
      <c r="E76" s="1904"/>
      <c r="F76" s="1905"/>
      <c r="G76" s="1905"/>
      <c r="H76" s="1905"/>
      <c r="I76" s="1905"/>
      <c r="J76" s="1905"/>
      <c r="K76" s="1905"/>
      <c r="L76" s="1905"/>
      <c r="M76" s="1905"/>
      <c r="N76" s="1905"/>
      <c r="O76" s="1905"/>
      <c r="P76" s="1905"/>
      <c r="Q76" s="1905"/>
      <c r="R76" s="1905"/>
      <c r="S76" s="1905"/>
      <c r="T76" s="1905"/>
      <c r="U76" s="1905"/>
      <c r="V76" s="1905"/>
      <c r="W76" s="1905"/>
      <c r="X76" s="1905"/>
      <c r="Y76" s="1905"/>
      <c r="Z76" s="1905"/>
      <c r="AA76" s="1905"/>
      <c r="AB76" s="1905"/>
      <c r="AC76" s="1905"/>
      <c r="AD76" s="1905"/>
      <c r="AE76" s="1905"/>
      <c r="AF76" s="1905"/>
      <c r="AG76" s="1905"/>
      <c r="AH76" s="1905"/>
      <c r="AI76" s="1905"/>
      <c r="AJ76" s="190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30">
        <f>IF(AK56&gt;0,0,AO65)</f>
        <v>10</v>
      </c>
      <c r="AL78" s="1931"/>
      <c r="AM78" s="193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0" t="s">
        <v>1417</v>
      </c>
      <c r="AF81" s="1910"/>
      <c r="AG81" s="1910"/>
      <c r="AH81" s="1910"/>
      <c r="AI81" s="1910"/>
      <c r="AJ81" s="1910"/>
      <c r="AK81" s="1910"/>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0" t="s">
        <v>600</v>
      </c>
      <c r="C84" s="1900"/>
      <c r="D84" s="581" t="s">
        <v>1427</v>
      </c>
      <c r="E84" s="1911" t="s">
        <v>1437</v>
      </c>
      <c r="F84" s="1912"/>
      <c r="G84" s="1912"/>
      <c r="H84" s="1912"/>
      <c r="I84" s="1912"/>
      <c r="J84" s="1912"/>
      <c r="K84" s="1912"/>
      <c r="L84" s="1912"/>
      <c r="M84" s="1912"/>
      <c r="N84" s="1912"/>
      <c r="O84" s="1912"/>
      <c r="P84" s="1912"/>
      <c r="Q84" s="1912"/>
      <c r="R84" s="1912"/>
      <c r="S84" s="1912"/>
      <c r="T84" s="1912"/>
      <c r="U84" s="1912"/>
      <c r="V84" s="1912"/>
      <c r="W84" s="1912"/>
      <c r="X84" s="1912"/>
      <c r="Y84" s="1912"/>
      <c r="Z84" s="1912"/>
      <c r="AA84" s="1912"/>
      <c r="AB84" s="1912"/>
      <c r="AC84" s="1912"/>
      <c r="AD84" s="1912"/>
      <c r="AE84" s="1912"/>
      <c r="AF84" s="1912"/>
      <c r="AG84" s="1912"/>
      <c r="AH84" s="1912"/>
      <c r="AI84" s="1912"/>
      <c r="AJ84" s="1913"/>
      <c r="AK84" s="577"/>
      <c r="AL84" s="574"/>
      <c r="AM84" s="574"/>
      <c r="AN84" s="569"/>
    </row>
    <row r="85" spans="1:43" s="570" customFormat="1" ht="12.75" customHeight="1">
      <c r="A85" s="572"/>
      <c r="B85" s="573"/>
      <c r="C85" s="573"/>
      <c r="D85" s="573"/>
      <c r="E85" s="1914"/>
      <c r="F85" s="1915"/>
      <c r="G85" s="1915"/>
      <c r="H85" s="1915"/>
      <c r="I85" s="1915"/>
      <c r="J85" s="1915"/>
      <c r="K85" s="1915"/>
      <c r="L85" s="1915"/>
      <c r="M85" s="1915"/>
      <c r="N85" s="1915"/>
      <c r="O85" s="1915"/>
      <c r="P85" s="1915"/>
      <c r="Q85" s="1915"/>
      <c r="R85" s="1915"/>
      <c r="S85" s="1915"/>
      <c r="T85" s="1915"/>
      <c r="U85" s="1915"/>
      <c r="V85" s="1915"/>
      <c r="W85" s="1915"/>
      <c r="X85" s="1915"/>
      <c r="Y85" s="1915"/>
      <c r="Z85" s="1915"/>
      <c r="AA85" s="1915"/>
      <c r="AB85" s="1915"/>
      <c r="AC85" s="1915"/>
      <c r="AD85" s="1915"/>
      <c r="AE85" s="1915"/>
      <c r="AF85" s="1915"/>
      <c r="AG85" s="1915"/>
      <c r="AH85" s="1915"/>
      <c r="AI85" s="1915"/>
      <c r="AJ85" s="191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4">
        <f>Application!AC753</f>
        <v>0.5</v>
      </c>
      <c r="F87" s="1895"/>
      <c r="G87" s="1895"/>
      <c r="H87" s="1895"/>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6">
        <f>0.6-ROUNDUP(E87,2)</f>
        <v>9.9999999999999978E-2</v>
      </c>
      <c r="F88" s="1897"/>
      <c r="G88" s="1897"/>
      <c r="H88" s="1897"/>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4">
        <f>IF(E88*200&gt;20,20,E88*200)</f>
        <v>19.999999999999996</v>
      </c>
      <c r="F89" s="1925"/>
      <c r="G89" s="1925"/>
      <c r="H89" s="1925"/>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0" t="s">
        <v>554</v>
      </c>
      <c r="C92" s="1900"/>
      <c r="D92" s="581" t="s">
        <v>1429</v>
      </c>
      <c r="E92" s="1911" t="s">
        <v>1916</v>
      </c>
      <c r="F92" s="1912"/>
      <c r="G92" s="1912"/>
      <c r="H92" s="1912"/>
      <c r="I92" s="1912"/>
      <c r="J92" s="1912"/>
      <c r="K92" s="1912"/>
      <c r="L92" s="1912"/>
      <c r="M92" s="1912"/>
      <c r="N92" s="1912"/>
      <c r="O92" s="1912"/>
      <c r="P92" s="1912"/>
      <c r="Q92" s="1912"/>
      <c r="R92" s="1912"/>
      <c r="S92" s="1912"/>
      <c r="T92" s="1912"/>
      <c r="U92" s="1912"/>
      <c r="V92" s="1912"/>
      <c r="W92" s="1912"/>
      <c r="X92" s="1912"/>
      <c r="Y92" s="1912"/>
      <c r="Z92" s="1912"/>
      <c r="AA92" s="1912"/>
      <c r="AB92" s="1912"/>
      <c r="AC92" s="1912"/>
      <c r="AD92" s="1912"/>
      <c r="AE92" s="1912"/>
      <c r="AF92" s="1912"/>
      <c r="AG92" s="1912"/>
      <c r="AH92" s="1912"/>
      <c r="AI92" s="1912"/>
      <c r="AJ92" s="1913"/>
      <c r="AK92" s="577"/>
      <c r="AL92" s="574"/>
      <c r="AM92" s="574"/>
      <c r="AN92" s="569"/>
    </row>
    <row r="93" spans="1:43" s="570" customFormat="1" ht="12.75" customHeight="1">
      <c r="A93" s="572"/>
      <c r="B93" s="573"/>
      <c r="C93" s="573"/>
      <c r="D93" s="573"/>
      <c r="E93" s="1914"/>
      <c r="F93" s="1915"/>
      <c r="G93" s="1915"/>
      <c r="H93" s="1915"/>
      <c r="I93" s="1915"/>
      <c r="J93" s="1915"/>
      <c r="K93" s="1915"/>
      <c r="L93" s="1915"/>
      <c r="M93" s="1915"/>
      <c r="N93" s="1915"/>
      <c r="O93" s="1915"/>
      <c r="P93" s="1915"/>
      <c r="Q93" s="1915"/>
      <c r="R93" s="1915"/>
      <c r="S93" s="1915"/>
      <c r="T93" s="1915"/>
      <c r="U93" s="1915"/>
      <c r="V93" s="1915"/>
      <c r="W93" s="1915"/>
      <c r="X93" s="1915"/>
      <c r="Y93" s="1915"/>
      <c r="Z93" s="1915"/>
      <c r="AA93" s="1915"/>
      <c r="AB93" s="1915"/>
      <c r="AC93" s="1915"/>
      <c r="AD93" s="1915"/>
      <c r="AE93" s="1915"/>
      <c r="AF93" s="1915"/>
      <c r="AG93" s="1915"/>
      <c r="AH93" s="1915"/>
      <c r="AI93" s="1915"/>
      <c r="AJ93" s="1916"/>
      <c r="AK93" s="577"/>
      <c r="AL93" s="574"/>
      <c r="AM93" s="574"/>
      <c r="AN93" s="569"/>
    </row>
    <row r="94" spans="1:43" s="570" customFormat="1" ht="12.75" customHeight="1">
      <c r="A94" s="572"/>
      <c r="B94" s="573"/>
      <c r="C94" s="573"/>
      <c r="D94" s="573"/>
      <c r="E94" s="1914"/>
      <c r="F94" s="1915"/>
      <c r="G94" s="1915"/>
      <c r="H94" s="1915"/>
      <c r="I94" s="1915"/>
      <c r="J94" s="1915"/>
      <c r="K94" s="1915"/>
      <c r="L94" s="1915"/>
      <c r="M94" s="1915"/>
      <c r="N94" s="1915"/>
      <c r="O94" s="1915"/>
      <c r="P94" s="1915"/>
      <c r="Q94" s="1915"/>
      <c r="R94" s="1915"/>
      <c r="S94" s="1915"/>
      <c r="T94" s="1915"/>
      <c r="U94" s="1915"/>
      <c r="V94" s="1915"/>
      <c r="W94" s="1915"/>
      <c r="X94" s="1915"/>
      <c r="Y94" s="1915"/>
      <c r="Z94" s="1915"/>
      <c r="AA94" s="1915"/>
      <c r="AB94" s="1915"/>
      <c r="AC94" s="1915"/>
      <c r="AD94" s="1915"/>
      <c r="AE94" s="1915"/>
      <c r="AF94" s="1915"/>
      <c r="AG94" s="1915"/>
      <c r="AH94" s="1915"/>
      <c r="AI94" s="1915"/>
      <c r="AJ94" s="1916"/>
      <c r="AK94" s="577"/>
      <c r="AL94" s="574"/>
      <c r="AM94" s="574"/>
      <c r="AN94" s="569"/>
    </row>
    <row r="95" spans="1:43" s="570" customFormat="1" ht="12.75" customHeight="1">
      <c r="A95" s="572"/>
      <c r="B95" s="573"/>
      <c r="C95" s="573"/>
      <c r="D95" s="573"/>
      <c r="E95" s="1914"/>
      <c r="F95" s="1915"/>
      <c r="G95" s="1915"/>
      <c r="H95" s="1915"/>
      <c r="I95" s="1915"/>
      <c r="J95" s="1915"/>
      <c r="K95" s="1915"/>
      <c r="L95" s="1915"/>
      <c r="M95" s="1915"/>
      <c r="N95" s="1915"/>
      <c r="O95" s="1915"/>
      <c r="P95" s="1915"/>
      <c r="Q95" s="1915"/>
      <c r="R95" s="1915"/>
      <c r="S95" s="1915"/>
      <c r="T95" s="1915"/>
      <c r="U95" s="1915"/>
      <c r="V95" s="1915"/>
      <c r="W95" s="1915"/>
      <c r="X95" s="1915"/>
      <c r="Y95" s="1915"/>
      <c r="Z95" s="1915"/>
      <c r="AA95" s="1915"/>
      <c r="AB95" s="1915"/>
      <c r="AC95" s="1915"/>
      <c r="AD95" s="1915"/>
      <c r="AE95" s="1915"/>
      <c r="AF95" s="1915"/>
      <c r="AG95" s="1915"/>
      <c r="AH95" s="1915"/>
      <c r="AI95" s="1915"/>
      <c r="AJ95" s="191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4">
        <f>Application!AC753</f>
        <v>0.5</v>
      </c>
      <c r="F97" s="1895"/>
      <c r="G97" s="1895"/>
      <c r="H97" s="1895"/>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4">
        <f ca="1">SUMIF(Application!AC718:AG752,0.2,Application!G718:J752)/Application!G753+SUMIF(Application!AC718:AG752,0.25,Application!G718:J752)/Application!G753+SUMIF(Application!AC718:AG752,0.3,Application!G718:J752)/Application!G753</f>
        <v>0.10588235294117647</v>
      </c>
      <c r="F98" s="1895"/>
      <c r="G98" s="1895"/>
      <c r="H98" s="1895"/>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4">
        <f ca="1">SUMIF(Application!AC718:AG752,0.35,Application!G718:J752)/Application!G753+SUMIF(Application!AC718:AG752,0.4,Application!G718:J752)/Application!G753+SUMIF(Application!AC718:AG752,0.45,Application!G718:J752)/Application!G753+SUMIF(Application!AC718:AG752,0.5,Application!G718:J752)/Application!G753</f>
        <v>0.55882352941176472</v>
      </c>
      <c r="F99" s="1895"/>
      <c r="G99" s="1895"/>
      <c r="H99" s="1895"/>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9">
        <f ca="1">IF(AND(E97&lt;=0.6,E98&gt;=0.1,OR(E99&gt;=0.1,E98&gt;=0.2)),20,0)</f>
        <v>20</v>
      </c>
      <c r="F100" s="1950"/>
      <c r="G100" s="1950"/>
      <c r="H100" s="1950"/>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30">
        <f ca="1">MAX(AP89,AP100)</f>
        <v>20</v>
      </c>
      <c r="AL103" s="1931"/>
      <c r="AM103" s="193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0" t="s">
        <v>1426</v>
      </c>
      <c r="AF106" s="1910"/>
      <c r="AG106" s="1910"/>
      <c r="AH106" s="1910"/>
      <c r="AI106" s="1910"/>
      <c r="AJ106" s="1910"/>
      <c r="AK106" s="1910"/>
      <c r="AL106" s="574"/>
      <c r="AM106" s="574"/>
      <c r="AN106" s="569"/>
      <c r="AO106" s="570" t="str">
        <f>Application!B718</f>
        <v>1 Bedroom</v>
      </c>
      <c r="AQ106" s="570">
        <f>Application!O718</f>
        <v>461</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538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610</v>
      </c>
    </row>
    <row r="109" spans="1:49" s="570" customFormat="1" ht="12.75" customHeight="1">
      <c r="A109" s="574"/>
      <c r="B109" s="1900" t="s">
        <v>554</v>
      </c>
      <c r="C109" s="1900"/>
      <c r="D109" s="581" t="s">
        <v>1427</v>
      </c>
      <c r="E109" s="1911" t="s">
        <v>2050</v>
      </c>
      <c r="F109" s="1912"/>
      <c r="G109" s="1912"/>
      <c r="H109" s="1912"/>
      <c r="I109" s="1912"/>
      <c r="J109" s="1912"/>
      <c r="K109" s="1912"/>
      <c r="L109" s="1912"/>
      <c r="M109" s="1912"/>
      <c r="N109" s="1912"/>
      <c r="O109" s="1912"/>
      <c r="P109" s="1912"/>
      <c r="Q109" s="1912"/>
      <c r="R109" s="1912"/>
      <c r="S109" s="1912"/>
      <c r="T109" s="1912"/>
      <c r="U109" s="1912"/>
      <c r="V109" s="1912"/>
      <c r="W109" s="1912"/>
      <c r="X109" s="1912"/>
      <c r="Y109" s="1912"/>
      <c r="Z109" s="1912"/>
      <c r="AA109" s="1912"/>
      <c r="AB109" s="1912"/>
      <c r="AC109" s="1912"/>
      <c r="AD109" s="1912"/>
      <c r="AE109" s="1912"/>
      <c r="AF109" s="1912"/>
      <c r="AG109" s="1912"/>
      <c r="AH109" s="1912"/>
      <c r="AI109" s="1912"/>
      <c r="AJ109" s="1913"/>
      <c r="AK109" s="574"/>
      <c r="AL109" s="574"/>
      <c r="AM109" s="574"/>
      <c r="AN109" s="569"/>
      <c r="AO109" s="570" t="str">
        <f>Application!B721</f>
        <v>4 Bedrooms</v>
      </c>
      <c r="AQ109" s="570">
        <f>Application!O721</f>
        <v>666</v>
      </c>
      <c r="AU109" s="570" t="s">
        <v>2032</v>
      </c>
      <c r="AV109" s="629" t="s">
        <v>2033</v>
      </c>
      <c r="AW109" s="570" t="s">
        <v>2034</v>
      </c>
    </row>
    <row r="110" spans="1:49" s="570" customFormat="1" ht="12.75" customHeight="1">
      <c r="A110" s="574"/>
      <c r="B110" s="573"/>
      <c r="C110" s="573"/>
      <c r="D110" s="573"/>
      <c r="E110" s="1914"/>
      <c r="F110" s="1915"/>
      <c r="G110" s="1915"/>
      <c r="H110" s="1915"/>
      <c r="I110" s="1915"/>
      <c r="J110" s="1915"/>
      <c r="K110" s="1915"/>
      <c r="L110" s="1915"/>
      <c r="M110" s="1915"/>
      <c r="N110" s="1915"/>
      <c r="O110" s="1915"/>
      <c r="P110" s="1915"/>
      <c r="Q110" s="1915"/>
      <c r="R110" s="1915"/>
      <c r="S110" s="1915"/>
      <c r="T110" s="1915"/>
      <c r="U110" s="1915"/>
      <c r="V110" s="1915"/>
      <c r="W110" s="1915"/>
      <c r="X110" s="1915"/>
      <c r="Y110" s="1915"/>
      <c r="Z110" s="1915"/>
      <c r="AA110" s="1915"/>
      <c r="AB110" s="1915"/>
      <c r="AC110" s="1915"/>
      <c r="AD110" s="1915"/>
      <c r="AE110" s="1915"/>
      <c r="AF110" s="1915"/>
      <c r="AG110" s="1915"/>
      <c r="AH110" s="1915"/>
      <c r="AI110" s="1915"/>
      <c r="AJ110" s="1916"/>
      <c r="AK110" s="574"/>
      <c r="AL110" s="574"/>
      <c r="AM110" s="574"/>
      <c r="AN110" s="569"/>
      <c r="AO110" s="570" t="str">
        <f>Application!B722</f>
        <v>1 Bedroom</v>
      </c>
      <c r="AQ110" s="570">
        <f>Application!O722</f>
        <v>636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4"/>
      <c r="F111" s="1915"/>
      <c r="G111" s="1915"/>
      <c r="H111" s="1915"/>
      <c r="I111" s="1915"/>
      <c r="J111" s="1915"/>
      <c r="K111" s="1915"/>
      <c r="L111" s="1915"/>
      <c r="M111" s="1915"/>
      <c r="N111" s="1915"/>
      <c r="O111" s="1915"/>
      <c r="P111" s="1915"/>
      <c r="Q111" s="1915"/>
      <c r="R111" s="1915"/>
      <c r="S111" s="1915"/>
      <c r="T111" s="1915"/>
      <c r="U111" s="1915"/>
      <c r="V111" s="1915"/>
      <c r="W111" s="1915"/>
      <c r="X111" s="1915"/>
      <c r="Y111" s="1915"/>
      <c r="Z111" s="1915"/>
      <c r="AA111" s="1915"/>
      <c r="AB111" s="1915"/>
      <c r="AC111" s="1915"/>
      <c r="AD111" s="1915"/>
      <c r="AE111" s="1915"/>
      <c r="AF111" s="1915"/>
      <c r="AG111" s="1915"/>
      <c r="AH111" s="1915"/>
      <c r="AI111" s="1915"/>
      <c r="AJ111" s="1916"/>
      <c r="AK111" s="574"/>
      <c r="AL111" s="574"/>
      <c r="AM111" s="574"/>
      <c r="AN111" s="569"/>
      <c r="AO111" s="570" t="str">
        <f>Application!B723</f>
        <v>1 Bedroom</v>
      </c>
      <c r="AQ111" s="570">
        <f>Application!O723</f>
        <v>636</v>
      </c>
      <c r="AU111" s="890" t="str">
        <f>J118</f>
        <v>1-bedroom</v>
      </c>
      <c r="AV111" s="570">
        <f t="array" ref="AV111">SUM(IF(Application!B718:F752="1 Bedroom",Application!G718:J752))</f>
        <v>78</v>
      </c>
      <c r="AW111" s="1046">
        <f>AV111/AV116</f>
        <v>0.45882352941176469</v>
      </c>
    </row>
    <row r="112" spans="1:49" s="570" customFormat="1" ht="12.75" customHeight="1">
      <c r="A112" s="574"/>
      <c r="B112" s="573"/>
      <c r="C112" s="573"/>
      <c r="D112" s="573"/>
      <c r="E112" s="1914"/>
      <c r="F112" s="1915"/>
      <c r="G112" s="1915"/>
      <c r="H112" s="1915"/>
      <c r="I112" s="1915"/>
      <c r="J112" s="1915"/>
      <c r="K112" s="1915"/>
      <c r="L112" s="1915"/>
      <c r="M112" s="1915"/>
      <c r="N112" s="1915"/>
      <c r="O112" s="1915"/>
      <c r="P112" s="1915"/>
      <c r="Q112" s="1915"/>
      <c r="R112" s="1915"/>
      <c r="S112" s="1915"/>
      <c r="T112" s="1915"/>
      <c r="U112" s="1915"/>
      <c r="V112" s="1915"/>
      <c r="W112" s="1915"/>
      <c r="X112" s="1915"/>
      <c r="Y112" s="1915"/>
      <c r="Z112" s="1915"/>
      <c r="AA112" s="1915"/>
      <c r="AB112" s="1915"/>
      <c r="AC112" s="1915"/>
      <c r="AD112" s="1915"/>
      <c r="AE112" s="1915"/>
      <c r="AF112" s="1915"/>
      <c r="AG112" s="1915"/>
      <c r="AH112" s="1915"/>
      <c r="AI112" s="1915"/>
      <c r="AJ112" s="1916"/>
      <c r="AK112" s="574"/>
      <c r="AL112" s="574"/>
      <c r="AM112" s="574"/>
      <c r="AN112" s="569"/>
      <c r="AO112" s="570" t="str">
        <f>Application!B724</f>
        <v>2 Bedrooms</v>
      </c>
      <c r="AQ112" s="570">
        <f>Application!O724</f>
        <v>748</v>
      </c>
      <c r="AU112" s="890" t="str">
        <f>O118</f>
        <v>2-bedroom</v>
      </c>
      <c r="AV112" s="570">
        <f t="array" ref="AV112">SUM(IF(Application!B718:F752="2 Bedrooms",Application!G718:J752))</f>
        <v>48</v>
      </c>
      <c r="AW112" s="1046">
        <f>AV112/AV116</f>
        <v>0.28235294117647058</v>
      </c>
    </row>
    <row r="113" spans="1:52" s="570" customFormat="1" ht="12.75" customHeight="1">
      <c r="A113" s="574"/>
      <c r="B113" s="573"/>
      <c r="C113" s="573"/>
      <c r="D113" s="573"/>
      <c r="E113" s="1914"/>
      <c r="F113" s="1915"/>
      <c r="G113" s="1915"/>
      <c r="H113" s="1915"/>
      <c r="I113" s="1915"/>
      <c r="J113" s="1915"/>
      <c r="K113" s="1915"/>
      <c r="L113" s="1915"/>
      <c r="M113" s="1915"/>
      <c r="N113" s="1915"/>
      <c r="O113" s="1915"/>
      <c r="P113" s="1915"/>
      <c r="Q113" s="1915"/>
      <c r="R113" s="1915"/>
      <c r="S113" s="1915"/>
      <c r="T113" s="1915"/>
      <c r="U113" s="1915"/>
      <c r="V113" s="1915"/>
      <c r="W113" s="1915"/>
      <c r="X113" s="1915"/>
      <c r="Y113" s="1915"/>
      <c r="Z113" s="1915"/>
      <c r="AA113" s="1915"/>
      <c r="AB113" s="1915"/>
      <c r="AC113" s="1915"/>
      <c r="AD113" s="1915"/>
      <c r="AE113" s="1915"/>
      <c r="AF113" s="1915"/>
      <c r="AG113" s="1915"/>
      <c r="AH113" s="1915"/>
      <c r="AI113" s="1915"/>
      <c r="AJ113" s="1916"/>
      <c r="AK113" s="574"/>
      <c r="AL113" s="574"/>
      <c r="AM113" s="574"/>
      <c r="AN113" s="569"/>
      <c r="AO113" s="570" t="str">
        <f>Application!B725</f>
        <v>3 Bedrooms</v>
      </c>
      <c r="AQ113" s="570">
        <f>Application!O725</f>
        <v>852</v>
      </c>
      <c r="AU113" s="890" t="str">
        <f>T118</f>
        <v>3-bedroom</v>
      </c>
      <c r="AV113" s="570">
        <f t="array" ref="AV113">SUM(IF(Application!B718:F752="3 Bedrooms",Application!G718:J752))</f>
        <v>36</v>
      </c>
      <c r="AW113" s="1046">
        <f>AV113/AV116</f>
        <v>0.21176470588235294</v>
      </c>
    </row>
    <row r="114" spans="1:52" s="570" customFormat="1" ht="12.75" customHeight="1">
      <c r="A114" s="574"/>
      <c r="B114" s="573"/>
      <c r="C114" s="573"/>
      <c r="D114" s="573"/>
      <c r="E114" s="1914"/>
      <c r="F114" s="1915"/>
      <c r="G114" s="1915"/>
      <c r="H114" s="1915"/>
      <c r="I114" s="1915"/>
      <c r="J114" s="1915"/>
      <c r="K114" s="1915"/>
      <c r="L114" s="1915"/>
      <c r="M114" s="1915"/>
      <c r="N114" s="1915"/>
      <c r="O114" s="1915"/>
      <c r="P114" s="1915"/>
      <c r="Q114" s="1915"/>
      <c r="R114" s="1915"/>
      <c r="S114" s="1915"/>
      <c r="T114" s="1915"/>
      <c r="U114" s="1915"/>
      <c r="V114" s="1915"/>
      <c r="W114" s="1915"/>
      <c r="X114" s="1915"/>
      <c r="Y114" s="1915"/>
      <c r="Z114" s="1915"/>
      <c r="AA114" s="1915"/>
      <c r="AB114" s="1915"/>
      <c r="AC114" s="1915"/>
      <c r="AD114" s="1915"/>
      <c r="AE114" s="1915"/>
      <c r="AF114" s="1915"/>
      <c r="AG114" s="1915"/>
      <c r="AH114" s="1915"/>
      <c r="AI114" s="1915"/>
      <c r="AJ114" s="1916"/>
      <c r="AK114" s="574"/>
      <c r="AL114" s="574"/>
      <c r="AM114" s="574"/>
      <c r="AN114" s="569"/>
      <c r="AO114" s="570" t="str">
        <f>Application!B726</f>
        <v>4 Bedrooms</v>
      </c>
      <c r="AQ114" s="570">
        <f>Application!O726</f>
        <v>937</v>
      </c>
      <c r="AU114" s="890" t="str">
        <f>Y118</f>
        <v>4-bedroom</v>
      </c>
      <c r="AV114" s="570">
        <f t="array" ref="AV114">SUM(IF(Application!B718:F752="4 Bedrooms",Application!G718:J752))</f>
        <v>8</v>
      </c>
      <c r="AW114" s="1046">
        <f>AV114/AV116</f>
        <v>4.7058823529411764E-2</v>
      </c>
    </row>
    <row r="115" spans="1:52" s="570" customFormat="1" ht="12.75" customHeight="1">
      <c r="A115" s="574"/>
      <c r="B115" s="573"/>
      <c r="C115" s="573"/>
      <c r="D115" s="573"/>
      <c r="E115" s="1914"/>
      <c r="F115" s="1915"/>
      <c r="G115" s="1915"/>
      <c r="H115" s="1915"/>
      <c r="I115" s="1915"/>
      <c r="J115" s="1915"/>
      <c r="K115" s="1915"/>
      <c r="L115" s="1915"/>
      <c r="M115" s="1915"/>
      <c r="N115" s="1915"/>
      <c r="O115" s="1915"/>
      <c r="P115" s="1915"/>
      <c r="Q115" s="1915"/>
      <c r="R115" s="1915"/>
      <c r="S115" s="1915"/>
      <c r="T115" s="1915"/>
      <c r="U115" s="1915"/>
      <c r="V115" s="1915"/>
      <c r="W115" s="1915"/>
      <c r="X115" s="1915"/>
      <c r="Y115" s="1915"/>
      <c r="Z115" s="1915"/>
      <c r="AA115" s="1915"/>
      <c r="AB115" s="1915"/>
      <c r="AC115" s="1915"/>
      <c r="AD115" s="1915"/>
      <c r="AE115" s="1915"/>
      <c r="AF115" s="1915"/>
      <c r="AG115" s="1915"/>
      <c r="AH115" s="1915"/>
      <c r="AI115" s="1915"/>
      <c r="AJ115" s="1916"/>
      <c r="AK115" s="574"/>
      <c r="AL115" s="574"/>
      <c r="AM115" s="574"/>
      <c r="AN115" s="569"/>
      <c r="AO115" s="570" t="str">
        <f>Application!B727</f>
        <v>1 Bedroom</v>
      </c>
      <c r="AQ115" s="570">
        <f>Application!O727</f>
        <v>811</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4"/>
      <c r="F116" s="1915"/>
      <c r="G116" s="1915"/>
      <c r="H116" s="1915"/>
      <c r="I116" s="1915"/>
      <c r="J116" s="1915"/>
      <c r="K116" s="1915"/>
      <c r="L116" s="1915"/>
      <c r="M116" s="1915"/>
      <c r="N116" s="1915"/>
      <c r="O116" s="1915"/>
      <c r="P116" s="1915"/>
      <c r="Q116" s="1915"/>
      <c r="R116" s="1915"/>
      <c r="S116" s="1915"/>
      <c r="T116" s="1915"/>
      <c r="U116" s="1915"/>
      <c r="V116" s="1915"/>
      <c r="W116" s="1915"/>
      <c r="X116" s="1915"/>
      <c r="Y116" s="1915"/>
      <c r="Z116" s="1915"/>
      <c r="AA116" s="1915"/>
      <c r="AB116" s="1915"/>
      <c r="AC116" s="1915"/>
      <c r="AD116" s="1915"/>
      <c r="AE116" s="1915"/>
      <c r="AF116" s="1915"/>
      <c r="AG116" s="1915"/>
      <c r="AH116" s="1915"/>
      <c r="AI116" s="1915"/>
      <c r="AJ116" s="1916"/>
      <c r="AK116" s="574"/>
      <c r="AL116" s="574"/>
      <c r="AM116" s="574"/>
      <c r="AN116" s="569"/>
      <c r="AO116" s="570" t="str">
        <f>Application!B728</f>
        <v>1 Bedroom</v>
      </c>
      <c r="AQ116" s="570">
        <f>Application!O728</f>
        <v>811</v>
      </c>
      <c r="AV116" s="570">
        <f>SUM(AV110:AV115)</f>
        <v>170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957</v>
      </c>
    </row>
    <row r="118" spans="1:52" s="570" customFormat="1" ht="12.75" customHeight="1">
      <c r="A118" s="574"/>
      <c r="B118" s="573"/>
      <c r="C118" s="574"/>
      <c r="D118" s="574"/>
      <c r="E118" s="1894" t="s">
        <v>1701</v>
      </c>
      <c r="F118" s="1895"/>
      <c r="G118" s="1895"/>
      <c r="H118" s="1895"/>
      <c r="I118" s="611"/>
      <c r="J118" s="1895" t="s">
        <v>1745</v>
      </c>
      <c r="K118" s="1895"/>
      <c r="L118" s="1895"/>
      <c r="M118" s="1895"/>
      <c r="N118" s="611"/>
      <c r="O118" s="1895" t="s">
        <v>1746</v>
      </c>
      <c r="P118" s="1895"/>
      <c r="Q118" s="1895"/>
      <c r="R118" s="1895"/>
      <c r="S118" s="611"/>
      <c r="T118" s="1895" t="s">
        <v>1446</v>
      </c>
      <c r="U118" s="1895"/>
      <c r="V118" s="1895"/>
      <c r="W118" s="1895"/>
      <c r="X118" s="611"/>
      <c r="Y118" s="1895" t="s">
        <v>1747</v>
      </c>
      <c r="Z118" s="1895"/>
      <c r="AA118" s="1895"/>
      <c r="AB118" s="1895"/>
      <c r="AC118" s="611"/>
      <c r="AD118" s="1895" t="s">
        <v>1748</v>
      </c>
      <c r="AE118" s="1895"/>
      <c r="AF118" s="1895"/>
      <c r="AG118" s="1895"/>
      <c r="AH118" s="611"/>
      <c r="AI118" s="611"/>
      <c r="AJ118" s="613"/>
      <c r="AK118" s="574"/>
      <c r="AL118" s="574"/>
      <c r="AM118" s="574"/>
      <c r="AN118" s="569"/>
      <c r="AO118" s="570" t="str">
        <f>Application!B730</f>
        <v>2 Bedrooms</v>
      </c>
      <c r="AQ118" s="570">
        <f>Application!O730</f>
        <v>957</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1094</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4 Bedrooms</v>
      </c>
      <c r="AQ120" s="570">
        <f>Application!O732</f>
        <v>1207</v>
      </c>
    </row>
    <row r="121" spans="1:52" s="570" customFormat="1" ht="12.75" customHeight="1">
      <c r="A121" s="574"/>
      <c r="B121" s="573"/>
      <c r="C121" s="574"/>
      <c r="D121" s="574"/>
      <c r="E121" s="1951"/>
      <c r="F121" s="1952"/>
      <c r="G121" s="1952"/>
      <c r="H121" s="1952"/>
      <c r="I121" s="898"/>
      <c r="J121" s="1952">
        <v>1898</v>
      </c>
      <c r="K121" s="1952"/>
      <c r="L121" s="1952"/>
      <c r="M121" s="1952"/>
      <c r="N121" s="898"/>
      <c r="O121" s="1952">
        <v>2236</v>
      </c>
      <c r="P121" s="1952"/>
      <c r="Q121" s="1952"/>
      <c r="R121" s="1952"/>
      <c r="S121" s="898"/>
      <c r="T121" s="1952">
        <v>2745</v>
      </c>
      <c r="U121" s="1952"/>
      <c r="V121" s="1952"/>
      <c r="W121" s="1952"/>
      <c r="X121" s="898"/>
      <c r="Y121" s="1952">
        <v>2928</v>
      </c>
      <c r="Z121" s="1952"/>
      <c r="AA121" s="1952"/>
      <c r="AB121" s="1952"/>
      <c r="AC121" s="898"/>
      <c r="AD121" s="1952"/>
      <c r="AE121" s="1952"/>
      <c r="AF121" s="1952"/>
      <c r="AG121" s="1952"/>
      <c r="AH121" s="611"/>
      <c r="AI121" s="611"/>
      <c r="AJ121" s="613"/>
      <c r="AK121" s="574"/>
      <c r="AL121" s="574"/>
      <c r="AM121" s="574"/>
      <c r="AN121" s="569"/>
      <c r="AO121" s="570" t="str">
        <f>Application!B733</f>
        <v>1 Bedroom</v>
      </c>
      <c r="AQ121" s="570">
        <f>Application!O733</f>
        <v>986</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2 Bedrooms</v>
      </c>
      <c r="AQ122" s="570">
        <f>Application!O734</f>
        <v>1167</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1337</v>
      </c>
      <c r="AU123" s="1044"/>
      <c r="AV123" s="1044"/>
      <c r="AW123" s="1044"/>
      <c r="AX123" s="1044"/>
      <c r="AY123" s="1044"/>
      <c r="AZ123" s="1044"/>
    </row>
    <row r="124" spans="1:52" s="570" customFormat="1" ht="12.75" customHeight="1">
      <c r="A124" s="574"/>
      <c r="B124" s="573"/>
      <c r="C124" s="574"/>
      <c r="D124" s="574"/>
      <c r="E124" s="1944">
        <f>Application!DX670</f>
        <v>0</v>
      </c>
      <c r="F124" s="1945"/>
      <c r="G124" s="1945"/>
      <c r="H124" s="1945"/>
      <c r="I124" s="898"/>
      <c r="J124" s="1945">
        <f>Application!EC670</f>
        <v>804.26923076923072</v>
      </c>
      <c r="K124" s="1945"/>
      <c r="L124" s="1945"/>
      <c r="M124" s="1945"/>
      <c r="N124" s="898"/>
      <c r="O124" s="1945">
        <f>Application!EH670</f>
        <v>983.5625</v>
      </c>
      <c r="P124" s="1945"/>
      <c r="Q124" s="1945"/>
      <c r="R124" s="1945"/>
      <c r="S124" s="902"/>
      <c r="T124" s="1945">
        <f>Application!EM670</f>
        <v>1114.5555555555557</v>
      </c>
      <c r="U124" s="1945"/>
      <c r="V124" s="1945"/>
      <c r="W124" s="1945"/>
      <c r="X124" s="902"/>
      <c r="Y124" s="1945">
        <f>Application!ER670</f>
        <v>1004.25</v>
      </c>
      <c r="Z124" s="1945"/>
      <c r="AA124" s="1945"/>
      <c r="AB124" s="1945"/>
      <c r="AC124" s="902"/>
      <c r="AD124" s="1945">
        <f>Application!EW670</f>
        <v>0</v>
      </c>
      <c r="AE124" s="1945"/>
      <c r="AF124" s="1945"/>
      <c r="AG124" s="1945"/>
      <c r="AH124" s="611"/>
      <c r="AI124" s="611"/>
      <c r="AJ124" s="613"/>
      <c r="AK124" s="574"/>
      <c r="AL124" s="574"/>
      <c r="AM124" s="574"/>
      <c r="AN124" s="569"/>
      <c r="AO124" s="570" t="str">
        <f>Application!B736</f>
        <v>1 Bedroom</v>
      </c>
      <c r="AQ124" s="570">
        <f>Application!O736</f>
        <v>1161</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2 Bedrooms</v>
      </c>
      <c r="AQ125" s="570">
        <f>Application!O737</f>
        <v>1377</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3 Bedrooms</v>
      </c>
      <c r="AQ126" s="570">
        <f>Application!O738</f>
        <v>1579</v>
      </c>
      <c r="AU126" s="1044"/>
      <c r="AV126" s="1044"/>
      <c r="AW126" s="1045"/>
      <c r="AX126" s="1045"/>
      <c r="AY126" s="1044"/>
      <c r="AZ126" s="1044"/>
    </row>
    <row r="127" spans="1:52" s="570" customFormat="1" ht="12.75" customHeight="1">
      <c r="A127" s="574"/>
      <c r="B127" s="573"/>
      <c r="C127" s="574"/>
      <c r="D127" s="574"/>
      <c r="E127" s="2141" t="e">
        <f>(E121-E124)/E121</f>
        <v>#DIV/0!</v>
      </c>
      <c r="F127" s="1897"/>
      <c r="G127" s="1897"/>
      <c r="H127" s="2142"/>
      <c r="I127" s="611"/>
      <c r="J127" s="2141">
        <f>(J121-J124)/J121</f>
        <v>0.57625435681283943</v>
      </c>
      <c r="K127" s="1897"/>
      <c r="L127" s="1897"/>
      <c r="M127" s="2142"/>
      <c r="N127" s="611"/>
      <c r="O127" s="2141">
        <f>(O121-O124)/O121</f>
        <v>0.5601241055456172</v>
      </c>
      <c r="P127" s="1897"/>
      <c r="Q127" s="1897"/>
      <c r="R127" s="2142"/>
      <c r="S127" s="611"/>
      <c r="T127" s="2141">
        <f>(T121-T124)/T121</f>
        <v>0.59396883222019825</v>
      </c>
      <c r="U127" s="1897"/>
      <c r="V127" s="1897"/>
      <c r="W127" s="2142"/>
      <c r="X127" s="611"/>
      <c r="Y127" s="2141">
        <f>(Y121-Y124)/Y121</f>
        <v>0.65701844262295084</v>
      </c>
      <c r="Z127" s="1897"/>
      <c r="AA127" s="1897"/>
      <c r="AB127" s="2142"/>
      <c r="AC127" s="611"/>
      <c r="AD127" s="2141" t="e">
        <f>(AD121-AD124)/AD121</f>
        <v>#DIV/0!</v>
      </c>
      <c r="AE127" s="1897"/>
      <c r="AF127" s="1897"/>
      <c r="AG127" s="214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6" t="e">
        <f>IF(((E127-0.1)*AW110)&gt;0,((E127-0.1)*AW110),0)</f>
        <v>#DIV/0!</v>
      </c>
      <c r="F130" s="1947"/>
      <c r="G130" s="1947"/>
      <c r="H130" s="1948"/>
      <c r="I130" s="611"/>
      <c r="J130" s="1946">
        <f>IF(((J127-0.1)*AW111)&gt;0,((J127-0.1)*AW111),0)</f>
        <v>0.21851670489059691</v>
      </c>
      <c r="K130" s="1947"/>
      <c r="L130" s="1947"/>
      <c r="M130" s="1948"/>
      <c r="N130" s="611"/>
      <c r="O130" s="1946">
        <f>IF(((O127-0.1)*AW112)&gt;0,((O127-0.1)*AW112),0)</f>
        <v>0.1299173945069978</v>
      </c>
      <c r="P130" s="1947"/>
      <c r="Q130" s="1947"/>
      <c r="R130" s="1948"/>
      <c r="S130" s="611"/>
      <c r="T130" s="1946">
        <f>IF(((T127-0.1)*AW113)&gt;0,((T127-0.1)*AW113),0)</f>
        <v>0.10460516447015963</v>
      </c>
      <c r="U130" s="1947"/>
      <c r="V130" s="1947"/>
      <c r="W130" s="1948"/>
      <c r="X130" s="611"/>
      <c r="Y130" s="1946">
        <f>IF(((Y127-0.1)*AW114)&gt;0,((Y127-0.1)*AW114),0)</f>
        <v>2.6212632594021217E-2</v>
      </c>
      <c r="Z130" s="1947"/>
      <c r="AA130" s="1947"/>
      <c r="AB130" s="1948"/>
      <c r="AC130" s="611"/>
      <c r="AD130" s="1946" t="e">
        <f>IF(((AD127-0.1)*AW115)&gt;0,((AD127-0.1)*AW115),0)</f>
        <v>#DIV/0!</v>
      </c>
      <c r="AE130" s="1947"/>
      <c r="AF130" s="1947"/>
      <c r="AG130" s="194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1">
        <f>ROUNDDOWN(SUMIF(E130:AG130,"&gt;0"),2)</f>
        <v>0.47</v>
      </c>
      <c r="F132" s="1897"/>
      <c r="G132" s="1897"/>
      <c r="H132" s="2142"/>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0">
        <f>IF((E132*100)&gt;10,10,E132*100)</f>
        <v>10</v>
      </c>
      <c r="F133" s="1931"/>
      <c r="G133" s="1931"/>
      <c r="H133" s="1932"/>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30">
        <f>E133</f>
        <v>10</v>
      </c>
      <c r="AL137" s="1931"/>
      <c r="AM137" s="193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10" t="s">
        <v>1426</v>
      </c>
      <c r="AF140" s="1910"/>
      <c r="AG140" s="1910"/>
      <c r="AH140" s="1910"/>
      <c r="AI140" s="1910"/>
      <c r="AJ140" s="1910"/>
      <c r="AK140" s="191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2" t="s">
        <v>1450</v>
      </c>
      <c r="AG142" s="1942"/>
      <c r="AH142" s="1942"/>
      <c r="AI142" s="1942"/>
      <c r="AJ142" s="1942"/>
      <c r="AK142" s="1942"/>
      <c r="AL142" s="1942"/>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3" t="s">
        <v>2649</v>
      </c>
      <c r="C144" s="1943"/>
      <c r="D144" s="1943"/>
      <c r="E144" s="1943"/>
      <c r="F144" s="1943"/>
      <c r="G144" s="1943"/>
      <c r="H144" s="1943"/>
      <c r="I144" s="1943"/>
      <c r="J144" s="1943"/>
      <c r="K144" s="1943"/>
      <c r="L144" s="1943"/>
      <c r="M144" s="1943"/>
      <c r="N144" s="1943"/>
      <c r="O144" s="1943"/>
      <c r="P144" s="1943"/>
      <c r="Q144" s="1943"/>
      <c r="R144" s="1943"/>
      <c r="S144" s="1943"/>
      <c r="T144" s="1943"/>
      <c r="U144" s="1943"/>
      <c r="V144" s="1943"/>
      <c r="W144" s="1943"/>
      <c r="X144" s="1943"/>
      <c r="Y144" s="1943"/>
      <c r="Z144" s="1943"/>
      <c r="AA144" s="1943"/>
      <c r="AB144" s="1943"/>
      <c r="AC144" s="194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8" t="s">
        <v>1453</v>
      </c>
      <c r="C147" s="1968"/>
      <c r="D147" s="1968"/>
      <c r="E147" s="1968"/>
      <c r="F147" s="1968"/>
      <c r="G147" s="1968"/>
      <c r="H147" s="1968"/>
      <c r="I147" s="1968"/>
      <c r="J147" s="1968"/>
      <c r="K147" s="1968"/>
      <c r="L147" s="1968"/>
      <c r="M147" s="1968"/>
      <c r="N147" s="1968"/>
      <c r="O147" s="1968"/>
      <c r="P147" s="1968"/>
      <c r="Q147" s="1968"/>
      <c r="R147" s="1968"/>
      <c r="S147" s="1968"/>
      <c r="T147" s="1968"/>
      <c r="U147" s="1968"/>
      <c r="V147" s="1968"/>
      <c r="W147" s="1968"/>
      <c r="X147" s="1968"/>
      <c r="Y147" s="1968"/>
      <c r="Z147" s="1968"/>
      <c r="AA147" s="1968"/>
      <c r="AB147" s="1968"/>
      <c r="AC147" s="1968"/>
      <c r="AD147" s="1968"/>
      <c r="AE147" s="1968"/>
      <c r="AF147" s="1968"/>
      <c r="AG147" s="1968"/>
      <c r="AH147" s="1968"/>
      <c r="AI147" s="1968"/>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1454</v>
      </c>
      <c r="AB149" s="1969" t="s">
        <v>600</v>
      </c>
      <c r="AC149" s="196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8" t="s">
        <v>1455</v>
      </c>
      <c r="C152" s="1968"/>
      <c r="D152" s="1968"/>
      <c r="E152" s="1968"/>
      <c r="F152" s="1968"/>
      <c r="G152" s="1968"/>
      <c r="H152" s="1968"/>
      <c r="I152" s="1968"/>
      <c r="J152" s="1968"/>
      <c r="K152" s="1968"/>
      <c r="L152" s="1968"/>
      <c r="M152" s="1968"/>
      <c r="N152" s="1968"/>
      <c r="O152" s="1968"/>
      <c r="P152" s="1968"/>
      <c r="Q152" s="1968"/>
      <c r="R152" s="1968"/>
      <c r="S152" s="1968"/>
      <c r="T152" s="1968"/>
      <c r="U152" s="1968"/>
      <c r="V152" s="1968"/>
      <c r="W152" s="1968"/>
      <c r="X152" s="1968"/>
      <c r="Y152" s="1968"/>
      <c r="Z152" s="1968"/>
      <c r="AA152" s="1968"/>
      <c r="AB152" s="1968"/>
      <c r="AC152" s="1968"/>
      <c r="AD152" s="1968"/>
      <c r="AE152" s="1968"/>
      <c r="AF152" s="1968"/>
      <c r="AG152" s="1968"/>
      <c r="AH152" s="1968"/>
      <c r="AI152" s="1968"/>
      <c r="AJ152" s="1968"/>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71">
        <f>IF($AB$149="N/A",VLOOKUP($B$147,$AO$145:$AP$148,2,FALSE),VLOOKUP($B$152,$AO$150:$AP$152,2,FALSE))</f>
        <v>7</v>
      </c>
      <c r="AK155" s="197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2" t="s">
        <v>1464</v>
      </c>
      <c r="AG157" s="1942"/>
      <c r="AH157" s="1942"/>
      <c r="AI157" s="1942"/>
      <c r="AJ157" s="1942"/>
      <c r="AK157" s="1942"/>
      <c r="AL157" s="1942"/>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8" t="s">
        <v>1462</v>
      </c>
      <c r="D159" s="1968"/>
      <c r="E159" s="1968"/>
      <c r="F159" s="1968"/>
      <c r="G159" s="1968"/>
      <c r="H159" s="1968"/>
      <c r="I159" s="1968"/>
      <c r="J159" s="1968"/>
      <c r="K159" s="1968"/>
      <c r="L159" s="1968"/>
      <c r="M159" s="1968"/>
      <c r="N159" s="1968"/>
      <c r="O159" s="1968"/>
      <c r="P159" s="1968"/>
      <c r="Q159" s="1968"/>
      <c r="R159" s="1968"/>
      <c r="S159" s="1968"/>
      <c r="T159" s="1968"/>
      <c r="U159" s="1968"/>
      <c r="V159" s="1968"/>
      <c r="W159" s="1968"/>
      <c r="X159" s="1968"/>
      <c r="Y159" s="1968"/>
      <c r="Z159" s="1968"/>
      <c r="AA159" s="1968"/>
      <c r="AB159" s="1968"/>
      <c r="AC159" s="1968"/>
      <c r="AD159" s="1968"/>
      <c r="AE159" s="1968"/>
      <c r="AF159" s="1968"/>
      <c r="AG159" s="1968"/>
      <c r="AH159" s="1968"/>
      <c r="AI159" s="196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9" t="s">
        <v>600</v>
      </c>
      <c r="AG161" s="1969"/>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1968" t="s">
        <v>1455</v>
      </c>
      <c r="D163" s="1968"/>
      <c r="E163" s="1968"/>
      <c r="F163" s="1968"/>
      <c r="G163" s="1968"/>
      <c r="H163" s="1968"/>
      <c r="I163" s="1968"/>
      <c r="J163" s="1968"/>
      <c r="K163" s="1968"/>
      <c r="L163" s="1968"/>
      <c r="M163" s="1968"/>
      <c r="N163" s="1968"/>
      <c r="O163" s="1968"/>
      <c r="P163" s="1968"/>
      <c r="Q163" s="1968"/>
      <c r="R163" s="1968"/>
      <c r="S163" s="1968"/>
      <c r="T163" s="1968"/>
      <c r="U163" s="1968"/>
      <c r="V163" s="1968"/>
      <c r="W163" s="1968"/>
      <c r="X163" s="1968"/>
      <c r="Y163" s="1968"/>
      <c r="Z163" s="1968"/>
      <c r="AA163" s="1968"/>
      <c r="AB163" s="1968"/>
      <c r="AC163" s="1968"/>
      <c r="AD163" s="1968"/>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3" t="s">
        <v>2742</v>
      </c>
      <c r="D167" s="1943"/>
      <c r="E167" s="1943"/>
      <c r="F167" s="1943"/>
      <c r="G167" s="1943"/>
      <c r="H167" s="1943"/>
      <c r="I167" s="1943"/>
      <c r="J167" s="1943"/>
      <c r="K167" s="1943"/>
      <c r="L167" s="1943"/>
      <c r="M167" s="1943"/>
      <c r="N167" s="1943"/>
      <c r="O167" s="1943"/>
      <c r="P167" s="1943"/>
      <c r="Q167" s="1943"/>
      <c r="R167" s="1943"/>
      <c r="S167" s="1943"/>
      <c r="T167" s="1943"/>
      <c r="U167" s="1943"/>
      <c r="V167" s="1943"/>
      <c r="W167" s="1943"/>
      <c r="X167" s="1943"/>
      <c r="Y167" s="1943"/>
      <c r="Z167" s="1943"/>
      <c r="AA167" s="1943"/>
      <c r="AB167" s="1943"/>
      <c r="AC167" s="1943"/>
      <c r="AD167" s="1943"/>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70">
        <f>IF($AF$161="N/A",VLOOKUP($C$159,$AO$159:$AP$162,2,FALSE),VLOOKUP($C$163,$AO$166:$AP$168,2,FALSE))</f>
        <v>3</v>
      </c>
      <c r="AK169" s="197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30">
        <f>$AJ$155+$AJ$169</f>
        <v>10</v>
      </c>
      <c r="AL172" s="1931"/>
      <c r="AM172" s="193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0" t="s">
        <v>1426</v>
      </c>
      <c r="AF175" s="1910"/>
      <c r="AG175" s="1910"/>
      <c r="AH175" s="1910"/>
      <c r="AI175" s="1910"/>
      <c r="AJ175" s="1910"/>
      <c r="AK175" s="191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6" t="s">
        <v>1066</v>
      </c>
      <c r="C177" s="1966"/>
      <c r="D177" s="1966"/>
      <c r="E177" s="1966"/>
      <c r="F177" s="1966"/>
      <c r="G177" s="1966"/>
      <c r="H177" s="1966"/>
      <c r="I177" s="1966"/>
      <c r="J177" s="1966"/>
      <c r="K177" s="1966"/>
      <c r="L177" s="1966"/>
      <c r="M177" s="1966"/>
      <c r="N177" s="1966"/>
      <c r="O177" s="1966"/>
      <c r="P177" s="1966"/>
      <c r="Q177" s="1966"/>
      <c r="R177" s="1966"/>
      <c r="S177" s="1966"/>
      <c r="T177" s="1966"/>
      <c r="U177" s="1966"/>
      <c r="V177" s="1966"/>
      <c r="W177" s="1966"/>
      <c r="X177" s="1966"/>
      <c r="Y177" s="1966"/>
      <c r="Z177" s="1966"/>
      <c r="AA177" s="1966"/>
      <c r="AB177" s="1966"/>
      <c r="AC177" s="1966"/>
      <c r="AD177" s="570"/>
      <c r="AE177" s="570"/>
      <c r="AF177" s="1942" t="s">
        <v>1475</v>
      </c>
      <c r="AG177" s="1942"/>
      <c r="AH177" s="1942"/>
      <c r="AI177" s="1942"/>
      <c r="AJ177" s="1942"/>
      <c r="AK177" s="1942"/>
      <c r="AL177" s="1942"/>
      <c r="AN177" s="631"/>
      <c r="AP177" s="584" t="s">
        <v>1068</v>
      </c>
      <c r="AQ177" s="584">
        <v>10</v>
      </c>
    </row>
    <row r="178" spans="1:45" s="584" customFormat="1" ht="12.75" customHeight="1">
      <c r="A178" s="570"/>
      <c r="B178" s="1967" t="s">
        <v>1917</v>
      </c>
      <c r="C178" s="1967"/>
      <c r="D178" s="1967"/>
      <c r="E178" s="1967"/>
      <c r="F178" s="1967"/>
      <c r="G178" s="1967"/>
      <c r="H178" s="1967"/>
      <c r="I178" s="1967"/>
      <c r="J178" s="1967"/>
      <c r="K178" s="1967"/>
      <c r="L178" s="1967"/>
      <c r="M178" s="1967"/>
      <c r="N178" s="1967"/>
      <c r="O178" s="1967"/>
      <c r="P178" s="1967"/>
      <c r="Q178" s="1967"/>
      <c r="R178" s="1967"/>
      <c r="S178" s="1967"/>
      <c r="T178" s="1943" t="s">
        <v>600</v>
      </c>
      <c r="U178" s="1943"/>
      <c r="V178" s="1943"/>
      <c r="W178" s="1943"/>
      <c r="X178" s="1943"/>
      <c r="Y178" s="1943"/>
      <c r="Z178" s="1943"/>
      <c r="AA178" s="1943"/>
      <c r="AB178" s="1943"/>
      <c r="AC178" s="1943"/>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5">
        <f>IF(AK78&gt;0,VLOOKUP($B$177,AP174:AQ180,2,FALSE),0)</f>
        <v>10</v>
      </c>
      <c r="AL180" s="1976"/>
      <c r="AM180" s="1977"/>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0" t="s">
        <v>1484</v>
      </c>
      <c r="AF183" s="1910"/>
      <c r="AG183" s="1910"/>
      <c r="AH183" s="1910"/>
      <c r="AI183" s="1910"/>
      <c r="AJ183" s="1910"/>
      <c r="AK183" s="191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4"/>
      <c r="C188" s="1954"/>
      <c r="D188" s="1954"/>
      <c r="E188" s="1954"/>
      <c r="F188" s="1954"/>
      <c r="G188" s="1954"/>
      <c r="H188" s="1954"/>
      <c r="I188" s="1954"/>
      <c r="J188" s="1954"/>
      <c r="K188" s="1954"/>
      <c r="L188" s="1954"/>
      <c r="M188" s="1954"/>
      <c r="N188" s="1954"/>
      <c r="O188" s="1954"/>
      <c r="P188" s="1954"/>
      <c r="Q188" s="1954"/>
      <c r="R188" s="1954"/>
      <c r="S188" s="1954"/>
      <c r="T188" s="1954"/>
      <c r="U188" s="1954"/>
      <c r="V188" s="1954"/>
      <c r="W188" s="1954"/>
      <c r="X188" s="1954"/>
      <c r="Y188" s="1954"/>
      <c r="Z188" s="1954"/>
      <c r="AA188" s="1954"/>
      <c r="AB188" s="1954"/>
      <c r="AC188" s="880"/>
      <c r="AD188" s="1955"/>
      <c r="AE188" s="1955"/>
      <c r="AF188" s="1955"/>
      <c r="AG188" s="1955"/>
      <c r="AH188" s="1955"/>
      <c r="AI188" s="1955"/>
      <c r="AJ188" s="1955"/>
      <c r="AK188" s="644"/>
    </row>
    <row r="189" spans="1:45">
      <c r="A189" s="639"/>
      <c r="B189" s="1954"/>
      <c r="C189" s="1954"/>
      <c r="D189" s="1954"/>
      <c r="E189" s="1954"/>
      <c r="F189" s="1954"/>
      <c r="G189" s="1954"/>
      <c r="H189" s="1954"/>
      <c r="I189" s="1954"/>
      <c r="J189" s="1954"/>
      <c r="K189" s="1954"/>
      <c r="L189" s="1954"/>
      <c r="M189" s="1954"/>
      <c r="N189" s="1954"/>
      <c r="O189" s="1954"/>
      <c r="P189" s="1954"/>
      <c r="Q189" s="1954"/>
      <c r="R189" s="1954"/>
      <c r="S189" s="1954"/>
      <c r="T189" s="1954"/>
      <c r="U189" s="1954"/>
      <c r="V189" s="1954"/>
      <c r="W189" s="1954"/>
      <c r="X189" s="1954"/>
      <c r="Y189" s="1954"/>
      <c r="Z189" s="1954"/>
      <c r="AA189" s="1954"/>
      <c r="AB189" s="1954"/>
      <c r="AC189" s="880"/>
      <c r="AD189" s="1955"/>
      <c r="AE189" s="1955"/>
      <c r="AF189" s="1955"/>
      <c r="AG189" s="1955"/>
      <c r="AH189" s="1955"/>
      <c r="AI189" s="1955"/>
      <c r="AJ189" s="1955"/>
      <c r="AK189" s="644"/>
    </row>
    <row r="190" spans="1:45">
      <c r="A190" s="639"/>
      <c r="B190" s="1954"/>
      <c r="C190" s="1954"/>
      <c r="D190" s="1954"/>
      <c r="E190" s="1954"/>
      <c r="F190" s="1954"/>
      <c r="G190" s="1954"/>
      <c r="H190" s="1954"/>
      <c r="I190" s="1954"/>
      <c r="J190" s="1954"/>
      <c r="K190" s="1954"/>
      <c r="L190" s="1954"/>
      <c r="M190" s="1954"/>
      <c r="N190" s="1954"/>
      <c r="O190" s="1954"/>
      <c r="P190" s="1954"/>
      <c r="Q190" s="1954"/>
      <c r="R190" s="1954"/>
      <c r="S190" s="1954"/>
      <c r="T190" s="1954"/>
      <c r="U190" s="1954"/>
      <c r="V190" s="1954"/>
      <c r="W190" s="1954"/>
      <c r="X190" s="1954"/>
      <c r="Y190" s="1954"/>
      <c r="Z190" s="1954"/>
      <c r="AA190" s="1954"/>
      <c r="AB190" s="1954"/>
      <c r="AC190" s="880"/>
      <c r="AD190" s="1955"/>
      <c r="AE190" s="1955"/>
      <c r="AF190" s="1955"/>
      <c r="AG190" s="1955"/>
      <c r="AH190" s="1955"/>
      <c r="AI190" s="1955"/>
      <c r="AJ190" s="1955"/>
      <c r="AK190" s="644"/>
    </row>
    <row r="191" spans="1:45">
      <c r="A191" s="639"/>
      <c r="B191" s="1954"/>
      <c r="C191" s="1954"/>
      <c r="D191" s="1954"/>
      <c r="E191" s="1954"/>
      <c r="F191" s="1954"/>
      <c r="G191" s="1954"/>
      <c r="H191" s="1954"/>
      <c r="I191" s="1954"/>
      <c r="J191" s="1954"/>
      <c r="K191" s="1954"/>
      <c r="L191" s="1954"/>
      <c r="M191" s="1954"/>
      <c r="N191" s="1954"/>
      <c r="O191" s="1954"/>
      <c r="P191" s="1954"/>
      <c r="Q191" s="1954"/>
      <c r="R191" s="1954"/>
      <c r="S191" s="1954"/>
      <c r="T191" s="1954"/>
      <c r="U191" s="1954"/>
      <c r="V191" s="1954"/>
      <c r="W191" s="1954"/>
      <c r="X191" s="1954"/>
      <c r="Y191" s="1954"/>
      <c r="Z191" s="1954"/>
      <c r="AA191" s="1954"/>
      <c r="AB191" s="1954"/>
      <c r="AC191" s="880"/>
      <c r="AD191" s="1955"/>
      <c r="AE191" s="1955"/>
      <c r="AF191" s="1955"/>
      <c r="AG191" s="1955"/>
      <c r="AH191" s="1955"/>
      <c r="AI191" s="1955"/>
      <c r="AJ191" s="1955"/>
      <c r="AK191" s="644"/>
    </row>
    <row r="192" spans="1:45">
      <c r="A192" s="639"/>
      <c r="B192" s="1954"/>
      <c r="C192" s="1954"/>
      <c r="D192" s="1954"/>
      <c r="E192" s="1954"/>
      <c r="F192" s="1954"/>
      <c r="G192" s="1954"/>
      <c r="H192" s="1954"/>
      <c r="I192" s="1954"/>
      <c r="J192" s="1954"/>
      <c r="K192" s="1954"/>
      <c r="L192" s="1954"/>
      <c r="M192" s="1954"/>
      <c r="N192" s="1954"/>
      <c r="O192" s="1954"/>
      <c r="P192" s="1954"/>
      <c r="Q192" s="1954"/>
      <c r="R192" s="1954"/>
      <c r="S192" s="1954"/>
      <c r="T192" s="1954"/>
      <c r="U192" s="1954"/>
      <c r="V192" s="1954"/>
      <c r="W192" s="1954"/>
      <c r="X192" s="1954"/>
      <c r="Y192" s="1954"/>
      <c r="Z192" s="1954"/>
      <c r="AA192" s="1954"/>
      <c r="AB192" s="1954"/>
      <c r="AC192" s="880"/>
      <c r="AD192" s="1955"/>
      <c r="AE192" s="1955"/>
      <c r="AF192" s="1955"/>
      <c r="AG192" s="1955"/>
      <c r="AH192" s="1955"/>
      <c r="AI192" s="1955"/>
      <c r="AJ192" s="1955"/>
      <c r="AK192" s="644"/>
    </row>
    <row r="193" spans="1:37">
      <c r="A193" s="639"/>
      <c r="B193" s="1954"/>
      <c r="C193" s="1954"/>
      <c r="D193" s="1954"/>
      <c r="E193" s="1954"/>
      <c r="F193" s="1954"/>
      <c r="G193" s="1954"/>
      <c r="H193" s="1954"/>
      <c r="I193" s="1954"/>
      <c r="J193" s="1954"/>
      <c r="K193" s="1954"/>
      <c r="L193" s="1954"/>
      <c r="M193" s="1954"/>
      <c r="N193" s="1954"/>
      <c r="O193" s="1954"/>
      <c r="P193" s="1954"/>
      <c r="Q193" s="1954"/>
      <c r="R193" s="1954"/>
      <c r="S193" s="1954"/>
      <c r="T193" s="1954"/>
      <c r="U193" s="1954"/>
      <c r="V193" s="1954"/>
      <c r="W193" s="1954"/>
      <c r="X193" s="1954"/>
      <c r="Y193" s="1954"/>
      <c r="Z193" s="1954"/>
      <c r="AA193" s="1954"/>
      <c r="AB193" s="1954"/>
      <c r="AC193" s="880"/>
      <c r="AD193" s="1955"/>
      <c r="AE193" s="1955"/>
      <c r="AF193" s="1955"/>
      <c r="AG193" s="1955"/>
      <c r="AH193" s="1955"/>
      <c r="AI193" s="1955"/>
      <c r="AJ193" s="1955"/>
      <c r="AK193" s="644"/>
    </row>
    <row r="194" spans="1:37">
      <c r="A194" s="639"/>
      <c r="B194" s="1954"/>
      <c r="C194" s="1954"/>
      <c r="D194" s="1954"/>
      <c r="E194" s="1954"/>
      <c r="F194" s="1954"/>
      <c r="G194" s="1954"/>
      <c r="H194" s="1954"/>
      <c r="I194" s="1954"/>
      <c r="J194" s="1954"/>
      <c r="K194" s="1954"/>
      <c r="L194" s="1954"/>
      <c r="M194" s="1954"/>
      <c r="N194" s="1954"/>
      <c r="O194" s="1954"/>
      <c r="P194" s="1954"/>
      <c r="Q194" s="1954"/>
      <c r="R194" s="1954"/>
      <c r="S194" s="1954"/>
      <c r="T194" s="1954"/>
      <c r="U194" s="1954"/>
      <c r="V194" s="1954"/>
      <c r="W194" s="1954"/>
      <c r="X194" s="1954"/>
      <c r="Y194" s="1954"/>
      <c r="Z194" s="1954"/>
      <c r="AA194" s="1954"/>
      <c r="AB194" s="1954"/>
      <c r="AC194" s="880"/>
      <c r="AD194" s="1955"/>
      <c r="AE194" s="1955"/>
      <c r="AF194" s="1955"/>
      <c r="AG194" s="1955"/>
      <c r="AH194" s="1955"/>
      <c r="AI194" s="1955"/>
      <c r="AJ194" s="1955"/>
      <c r="AK194" s="644"/>
    </row>
    <row r="195" spans="1:37">
      <c r="A195" s="639"/>
      <c r="B195" s="1954"/>
      <c r="C195" s="1954"/>
      <c r="D195" s="1954"/>
      <c r="E195" s="1954"/>
      <c r="F195" s="1954"/>
      <c r="G195" s="1954"/>
      <c r="H195" s="1954"/>
      <c r="I195" s="1954"/>
      <c r="J195" s="1954"/>
      <c r="K195" s="1954"/>
      <c r="L195" s="1954"/>
      <c r="M195" s="1954"/>
      <c r="N195" s="1954"/>
      <c r="O195" s="1954"/>
      <c r="P195" s="1954"/>
      <c r="Q195" s="1954"/>
      <c r="R195" s="1954"/>
      <c r="S195" s="1954"/>
      <c r="T195" s="1954"/>
      <c r="U195" s="1954"/>
      <c r="V195" s="1954"/>
      <c r="W195" s="1954"/>
      <c r="X195" s="1954"/>
      <c r="Y195" s="1954"/>
      <c r="Z195" s="1954"/>
      <c r="AA195" s="1954"/>
      <c r="AB195" s="1954"/>
      <c r="AC195" s="880"/>
      <c r="AD195" s="1955"/>
      <c r="AE195" s="1955"/>
      <c r="AF195" s="1955"/>
      <c r="AG195" s="1955"/>
      <c r="AH195" s="1955"/>
      <c r="AI195" s="1955"/>
      <c r="AJ195" s="1955"/>
      <c r="AK195" s="644"/>
    </row>
    <row r="196" spans="1:37">
      <c r="A196" s="639"/>
      <c r="B196" s="1954"/>
      <c r="C196" s="1954"/>
      <c r="D196" s="1954"/>
      <c r="E196" s="1954"/>
      <c r="F196" s="1954"/>
      <c r="G196" s="1954"/>
      <c r="H196" s="1954"/>
      <c r="I196" s="1954"/>
      <c r="J196" s="1954"/>
      <c r="K196" s="1954"/>
      <c r="L196" s="1954"/>
      <c r="M196" s="1954"/>
      <c r="N196" s="1954"/>
      <c r="O196" s="1954"/>
      <c r="P196" s="1954"/>
      <c r="Q196" s="1954"/>
      <c r="R196" s="1954"/>
      <c r="S196" s="1954"/>
      <c r="T196" s="1954"/>
      <c r="U196" s="1954"/>
      <c r="V196" s="1954"/>
      <c r="W196" s="1954"/>
      <c r="X196" s="1954"/>
      <c r="Y196" s="1954"/>
      <c r="Z196" s="1954"/>
      <c r="AA196" s="1954"/>
      <c r="AB196" s="1954"/>
      <c r="AC196" s="880"/>
      <c r="AD196" s="1955"/>
      <c r="AE196" s="1955"/>
      <c r="AF196" s="1955"/>
      <c r="AG196" s="1955"/>
      <c r="AH196" s="1955"/>
      <c r="AI196" s="1955"/>
      <c r="AJ196" s="1955"/>
      <c r="AK196" s="644"/>
    </row>
    <row r="197" spans="1:37">
      <c r="A197" s="639"/>
      <c r="B197" s="1954"/>
      <c r="C197" s="1954"/>
      <c r="D197" s="1954"/>
      <c r="E197" s="1954"/>
      <c r="F197" s="1954"/>
      <c r="G197" s="1954"/>
      <c r="H197" s="1954"/>
      <c r="I197" s="1954"/>
      <c r="J197" s="1954"/>
      <c r="K197" s="1954"/>
      <c r="L197" s="1954"/>
      <c r="M197" s="1954"/>
      <c r="N197" s="1954"/>
      <c r="O197" s="1954"/>
      <c r="P197" s="1954"/>
      <c r="Q197" s="1954"/>
      <c r="R197" s="1954"/>
      <c r="S197" s="1954"/>
      <c r="T197" s="1954"/>
      <c r="U197" s="1954"/>
      <c r="V197" s="1954"/>
      <c r="W197" s="1954"/>
      <c r="X197" s="1954"/>
      <c r="Y197" s="1954"/>
      <c r="Z197" s="1954"/>
      <c r="AA197" s="1954"/>
      <c r="AB197" s="1954"/>
      <c r="AC197" s="880"/>
      <c r="AD197" s="1955"/>
      <c r="AE197" s="1955"/>
      <c r="AF197" s="1955"/>
      <c r="AG197" s="1955"/>
      <c r="AH197" s="1955"/>
      <c r="AI197" s="1955"/>
      <c r="AJ197" s="1955"/>
      <c r="AK197" s="644"/>
    </row>
    <row r="198" spans="1:37">
      <c r="A198" s="639"/>
      <c r="B198" s="2118" t="s">
        <v>1740</v>
      </c>
      <c r="C198" s="2118"/>
      <c r="D198" s="2118"/>
      <c r="E198" s="2118"/>
      <c r="F198" s="2118"/>
      <c r="G198" s="2118"/>
      <c r="H198" s="2118"/>
      <c r="I198" s="2118"/>
      <c r="J198" s="2118"/>
      <c r="K198" s="2118"/>
      <c r="L198" s="2118"/>
      <c r="M198" s="2118"/>
      <c r="N198" s="2118"/>
      <c r="O198" s="2118"/>
      <c r="P198" s="2118"/>
      <c r="Q198" s="2118"/>
      <c r="R198" s="2118"/>
      <c r="S198" s="2118"/>
      <c r="T198" s="2118"/>
      <c r="U198" s="2118"/>
      <c r="V198" s="2118"/>
      <c r="W198" s="2118"/>
      <c r="X198" s="2118"/>
      <c r="Y198" s="2118"/>
      <c r="Z198" s="2118"/>
      <c r="AA198" s="2118"/>
      <c r="AB198" s="2118"/>
      <c r="AC198" s="570"/>
      <c r="AD198" s="1982">
        <f>AB249</f>
        <v>24473211.612213809</v>
      </c>
      <c r="AE198" s="1982"/>
      <c r="AF198" s="1982"/>
      <c r="AG198" s="1982"/>
      <c r="AH198" s="1982"/>
      <c r="AI198" s="1982"/>
      <c r="AJ198" s="1982"/>
      <c r="AK198" s="644"/>
    </row>
    <row r="199" spans="1:37">
      <c r="A199" s="639"/>
      <c r="B199" s="2116" t="s">
        <v>1703</v>
      </c>
      <c r="C199" s="2116"/>
      <c r="D199" s="2116"/>
      <c r="E199" s="2116"/>
      <c r="F199" s="2116"/>
      <c r="G199" s="2116"/>
      <c r="H199" s="2116"/>
      <c r="I199" s="2116"/>
      <c r="J199" s="2116"/>
      <c r="K199" s="2116"/>
      <c r="L199" s="2116"/>
      <c r="M199" s="2116"/>
      <c r="N199" s="2116"/>
      <c r="O199" s="2116"/>
      <c r="P199" s="2116"/>
      <c r="Q199" s="2116"/>
      <c r="R199" s="2116"/>
      <c r="S199" s="2116"/>
      <c r="T199" s="2116"/>
      <c r="U199" s="2116"/>
      <c r="V199" s="2116"/>
      <c r="W199" s="2116"/>
      <c r="X199" s="2116"/>
      <c r="Y199" s="2116"/>
      <c r="Z199" s="2116"/>
      <c r="AA199" s="2116"/>
      <c r="AB199" s="2116"/>
      <c r="AC199" s="880"/>
      <c r="AD199" s="1983">
        <f>'Sources and Uses Budget'!B15</f>
        <v>0</v>
      </c>
      <c r="AE199" s="1983"/>
      <c r="AF199" s="1983"/>
      <c r="AG199" s="1983"/>
      <c r="AH199" s="1983"/>
      <c r="AI199" s="1983"/>
      <c r="AJ199" s="198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7">
        <f>SUM(AD188:AJ198)-AD199</f>
        <v>24473211.612213809</v>
      </c>
      <c r="AE200" s="1987"/>
      <c r="AF200" s="1987"/>
      <c r="AG200" s="1987"/>
      <c r="AH200" s="1987"/>
      <c r="AI200" s="1987"/>
      <c r="AJ200" s="198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8" t="s">
        <v>1720</v>
      </c>
      <c r="J211" s="1958"/>
      <c r="K211" s="1958"/>
      <c r="L211" s="570"/>
      <c r="M211" s="570"/>
      <c r="N211" s="570"/>
      <c r="O211" s="570"/>
      <c r="P211" s="570"/>
      <c r="Q211" s="570"/>
      <c r="R211" s="570"/>
      <c r="S211" s="570"/>
      <c r="T211" s="2144" t="s">
        <v>1714</v>
      </c>
      <c r="U211" s="2144"/>
      <c r="V211" s="2144"/>
      <c r="W211" s="2144"/>
      <c r="X211" s="2144"/>
      <c r="Y211" s="2144"/>
      <c r="Z211" s="883"/>
      <c r="AA211" s="523"/>
      <c r="AB211" s="1953" t="s">
        <v>1715</v>
      </c>
      <c r="AC211" s="1953"/>
      <c r="AD211" s="1953"/>
      <c r="AE211" s="1953"/>
      <c r="AF211" s="1953"/>
      <c r="AG211" s="1953"/>
      <c r="AH211" s="861"/>
      <c r="AI211" s="861"/>
      <c r="AJ211" s="861"/>
      <c r="AK211" s="644"/>
    </row>
    <row r="212" spans="1:37">
      <c r="A212" s="639"/>
      <c r="B212" s="1956" t="s">
        <v>1700</v>
      </c>
      <c r="C212" s="1956"/>
      <c r="D212" s="1956"/>
      <c r="E212" s="1956"/>
      <c r="F212" s="1956"/>
      <c r="G212" s="1956"/>
      <c r="I212" s="1957" t="s">
        <v>1721</v>
      </c>
      <c r="J212" s="1957"/>
      <c r="K212" s="1957"/>
      <c r="L212" s="1043"/>
      <c r="N212" s="1963" t="s">
        <v>1716</v>
      </c>
      <c r="O212" s="1963"/>
      <c r="P212" s="1963"/>
      <c r="Q212" s="1963"/>
      <c r="R212" s="1963"/>
      <c r="T212" s="1963" t="s">
        <v>1717</v>
      </c>
      <c r="U212" s="1963"/>
      <c r="V212" s="1963"/>
      <c r="W212" s="1963"/>
      <c r="X212" s="1963"/>
      <c r="Y212" s="1963"/>
      <c r="Z212" s="884"/>
      <c r="AA212" s="523"/>
      <c r="AB212" s="2119" t="s">
        <v>1718</v>
      </c>
      <c r="AC212" s="2119"/>
      <c r="AD212" s="2119"/>
      <c r="AE212" s="2119"/>
      <c r="AF212" s="2119"/>
      <c r="AG212" s="2119"/>
      <c r="AH212" s="861"/>
      <c r="AI212" s="861"/>
      <c r="AJ212" s="861"/>
      <c r="AK212" s="644"/>
    </row>
    <row r="213" spans="1:37">
      <c r="A213" s="639"/>
      <c r="B213" s="1960" t="s">
        <v>2743</v>
      </c>
      <c r="C213" s="1960"/>
      <c r="D213" s="1960"/>
      <c r="E213" s="1960"/>
      <c r="F213" s="1960"/>
      <c r="G213" s="1960"/>
      <c r="H213" s="886"/>
      <c r="I213" s="1959">
        <v>16</v>
      </c>
      <c r="J213" s="1959"/>
      <c r="K213" s="1959"/>
      <c r="L213" s="1043"/>
      <c r="N213" s="1964">
        <f>Application!O723</f>
        <v>636</v>
      </c>
      <c r="O213" s="1964"/>
      <c r="P213" s="1964"/>
      <c r="Q213" s="1964"/>
      <c r="R213" s="1964"/>
      <c r="T213" s="2117">
        <f>'Subsidy Contract Calculation'!F4</f>
        <v>1709</v>
      </c>
      <c r="U213" s="2117"/>
      <c r="V213" s="2117"/>
      <c r="W213" s="2117"/>
      <c r="X213" s="2117"/>
      <c r="Y213" s="2117"/>
      <c r="Z213" s="885"/>
      <c r="AA213" s="885"/>
      <c r="AB213" s="1961">
        <f t="shared" ref="AB213:AB222" si="0">MAX(($T213-$N213)*$I213*12,0)</f>
        <v>206016</v>
      </c>
      <c r="AC213" s="1961"/>
      <c r="AD213" s="1961"/>
      <c r="AE213" s="1961"/>
      <c r="AF213" s="1961"/>
      <c r="AG213" s="1961"/>
      <c r="AH213" s="861"/>
      <c r="AI213" s="861"/>
      <c r="AJ213" s="861"/>
      <c r="AK213" s="644"/>
    </row>
    <row r="214" spans="1:37">
      <c r="A214" s="639"/>
      <c r="B214" s="1960" t="s">
        <v>2744</v>
      </c>
      <c r="C214" s="1960"/>
      <c r="D214" s="1960"/>
      <c r="E214" s="1960"/>
      <c r="F214" s="1960"/>
      <c r="G214" s="1960"/>
      <c r="I214" s="1959">
        <v>22</v>
      </c>
      <c r="J214" s="1959"/>
      <c r="K214" s="1959"/>
      <c r="L214" s="1043"/>
      <c r="N214" s="1964">
        <f>Application!O724</f>
        <v>748</v>
      </c>
      <c r="O214" s="1964"/>
      <c r="P214" s="1964"/>
      <c r="Q214" s="1964"/>
      <c r="R214" s="1964"/>
      <c r="T214" s="2117">
        <f>'Subsidy Contract Calculation'!F5</f>
        <v>2120</v>
      </c>
      <c r="U214" s="2117"/>
      <c r="V214" s="2117"/>
      <c r="W214" s="2117"/>
      <c r="X214" s="2117"/>
      <c r="Y214" s="2117"/>
      <c r="Z214" s="885"/>
      <c r="AA214" s="885"/>
      <c r="AB214" s="1961">
        <f t="shared" si="0"/>
        <v>362208</v>
      </c>
      <c r="AC214" s="1961"/>
      <c r="AD214" s="1961"/>
      <c r="AE214" s="1961"/>
      <c r="AF214" s="1961"/>
      <c r="AG214" s="1961"/>
      <c r="AH214" s="861"/>
      <c r="AI214" s="861"/>
      <c r="AJ214" s="861"/>
      <c r="AK214" s="644"/>
    </row>
    <row r="215" spans="1:37">
      <c r="A215" s="639"/>
      <c r="B215" s="1960" t="s">
        <v>2745</v>
      </c>
      <c r="C215" s="1960"/>
      <c r="D215" s="1960"/>
      <c r="E215" s="1960"/>
      <c r="F215" s="1960"/>
      <c r="G215" s="1960"/>
      <c r="I215" s="1959">
        <v>22</v>
      </c>
      <c r="J215" s="1959"/>
      <c r="K215" s="1959"/>
      <c r="L215" s="1043"/>
      <c r="N215" s="1964">
        <f>Application!O725</f>
        <v>852</v>
      </c>
      <c r="O215" s="1964"/>
      <c r="P215" s="1964"/>
      <c r="Q215" s="1964"/>
      <c r="R215" s="1964"/>
      <c r="T215" s="2117">
        <f>'Subsidy Contract Calculation'!F6</f>
        <v>2860</v>
      </c>
      <c r="U215" s="2117"/>
      <c r="V215" s="2117"/>
      <c r="W215" s="2117"/>
      <c r="X215" s="2117"/>
      <c r="Y215" s="2117"/>
      <c r="Z215" s="885"/>
      <c r="AA215" s="885"/>
      <c r="AB215" s="1961">
        <f t="shared" si="0"/>
        <v>530112</v>
      </c>
      <c r="AC215" s="1961"/>
      <c r="AD215" s="1961"/>
      <c r="AE215" s="1961"/>
      <c r="AF215" s="1961"/>
      <c r="AG215" s="1961"/>
      <c r="AH215" s="861"/>
      <c r="AI215" s="861"/>
      <c r="AJ215" s="861"/>
      <c r="AK215" s="644"/>
    </row>
    <row r="216" spans="1:37">
      <c r="A216" s="639"/>
      <c r="B216" s="1960" t="s">
        <v>2746</v>
      </c>
      <c r="C216" s="1960"/>
      <c r="D216" s="1960"/>
      <c r="E216" s="1960"/>
      <c r="F216" s="1960"/>
      <c r="G216" s="1960"/>
      <c r="I216" s="1959">
        <v>8</v>
      </c>
      <c r="J216" s="1959"/>
      <c r="K216" s="1959"/>
      <c r="L216" s="1043"/>
      <c r="N216" s="1964">
        <f>Application!O726</f>
        <v>937</v>
      </c>
      <c r="O216" s="1964"/>
      <c r="P216" s="1964"/>
      <c r="Q216" s="1964"/>
      <c r="R216" s="1964"/>
      <c r="T216" s="2117">
        <f>'Subsidy Contract Calculation'!F7</f>
        <v>3192</v>
      </c>
      <c r="U216" s="2117"/>
      <c r="V216" s="2117"/>
      <c r="W216" s="2117"/>
      <c r="X216" s="2117"/>
      <c r="Y216" s="2117"/>
      <c r="Z216" s="885"/>
      <c r="AA216" s="885"/>
      <c r="AB216" s="1961">
        <f t="shared" si="0"/>
        <v>216480</v>
      </c>
      <c r="AC216" s="1961"/>
      <c r="AD216" s="1961"/>
      <c r="AE216" s="1961"/>
      <c r="AF216" s="1961"/>
      <c r="AG216" s="1961"/>
      <c r="AH216" s="861"/>
      <c r="AI216" s="861"/>
      <c r="AJ216" s="861"/>
      <c r="AK216" s="644"/>
    </row>
    <row r="217" spans="1:37">
      <c r="A217" s="639"/>
      <c r="B217" s="1960" t="s">
        <v>1291</v>
      </c>
      <c r="C217" s="1960"/>
      <c r="D217" s="1960"/>
      <c r="E217" s="1960"/>
      <c r="F217" s="1960"/>
      <c r="G217" s="1960"/>
      <c r="I217" s="1959"/>
      <c r="J217" s="1959"/>
      <c r="K217" s="1959"/>
      <c r="L217" s="1050"/>
      <c r="N217" s="1964"/>
      <c r="O217" s="1964"/>
      <c r="P217" s="1964"/>
      <c r="Q217" s="1964"/>
      <c r="R217" s="1964"/>
      <c r="T217" s="2117"/>
      <c r="U217" s="2117"/>
      <c r="V217" s="2117"/>
      <c r="W217" s="2117"/>
      <c r="X217" s="2117"/>
      <c r="Y217" s="2117"/>
      <c r="Z217" s="885"/>
      <c r="AA217" s="885"/>
      <c r="AB217" s="1961">
        <f t="shared" si="0"/>
        <v>0</v>
      </c>
      <c r="AC217" s="1961"/>
      <c r="AD217" s="1961"/>
      <c r="AE217" s="1961"/>
      <c r="AF217" s="1961"/>
      <c r="AG217" s="1961"/>
      <c r="AH217" s="861"/>
      <c r="AI217" s="861"/>
      <c r="AJ217" s="861"/>
      <c r="AK217" s="644"/>
    </row>
    <row r="218" spans="1:37">
      <c r="A218" s="639"/>
      <c r="B218" s="1960" t="s">
        <v>1291</v>
      </c>
      <c r="C218" s="1960"/>
      <c r="D218" s="1960"/>
      <c r="E218" s="1960"/>
      <c r="F218" s="1960"/>
      <c r="G218" s="1960"/>
      <c r="I218" s="1959"/>
      <c r="J218" s="1959"/>
      <c r="K218" s="1959"/>
      <c r="L218" s="1050"/>
      <c r="N218" s="1964"/>
      <c r="O218" s="1964"/>
      <c r="P218" s="1964"/>
      <c r="Q218" s="1964"/>
      <c r="R218" s="1964"/>
      <c r="T218" s="2117"/>
      <c r="U218" s="2117"/>
      <c r="V218" s="2117"/>
      <c r="W218" s="2117"/>
      <c r="X218" s="2117"/>
      <c r="Y218" s="2117"/>
      <c r="Z218" s="885"/>
      <c r="AA218" s="885"/>
      <c r="AB218" s="1961">
        <f t="shared" si="0"/>
        <v>0</v>
      </c>
      <c r="AC218" s="1961"/>
      <c r="AD218" s="1961"/>
      <c r="AE218" s="1961"/>
      <c r="AF218" s="1961"/>
      <c r="AG218" s="1961"/>
      <c r="AH218" s="861"/>
      <c r="AI218" s="861"/>
      <c r="AJ218" s="861"/>
      <c r="AK218" s="644"/>
    </row>
    <row r="219" spans="1:37">
      <c r="A219" s="639"/>
      <c r="B219" s="1960" t="s">
        <v>1291</v>
      </c>
      <c r="C219" s="1960"/>
      <c r="D219" s="1960"/>
      <c r="E219" s="1960"/>
      <c r="F219" s="1960"/>
      <c r="G219" s="1960"/>
      <c r="I219" s="1959"/>
      <c r="J219" s="1959"/>
      <c r="K219" s="1959"/>
      <c r="L219" s="1050"/>
      <c r="N219" s="1964"/>
      <c r="O219" s="1964"/>
      <c r="P219" s="1964"/>
      <c r="Q219" s="1964"/>
      <c r="R219" s="1964"/>
      <c r="T219" s="2117"/>
      <c r="U219" s="2117"/>
      <c r="V219" s="2117"/>
      <c r="W219" s="2117"/>
      <c r="X219" s="2117"/>
      <c r="Y219" s="2117"/>
      <c r="Z219" s="885"/>
      <c r="AA219" s="885"/>
      <c r="AB219" s="1961">
        <f t="shared" si="0"/>
        <v>0</v>
      </c>
      <c r="AC219" s="1961"/>
      <c r="AD219" s="1961"/>
      <c r="AE219" s="1961"/>
      <c r="AF219" s="1961"/>
      <c r="AG219" s="1961"/>
      <c r="AH219" s="861"/>
      <c r="AI219" s="861"/>
      <c r="AJ219" s="861"/>
      <c r="AK219" s="644"/>
    </row>
    <row r="220" spans="1:37">
      <c r="A220" s="639"/>
      <c r="B220" s="1960" t="s">
        <v>1291</v>
      </c>
      <c r="C220" s="1960"/>
      <c r="D220" s="1960"/>
      <c r="E220" s="1960"/>
      <c r="F220" s="1960"/>
      <c r="G220" s="1960"/>
      <c r="I220" s="1959"/>
      <c r="J220" s="1959"/>
      <c r="K220" s="1959"/>
      <c r="L220" s="1050"/>
      <c r="N220" s="1964"/>
      <c r="O220" s="1964"/>
      <c r="P220" s="1964"/>
      <c r="Q220" s="1964"/>
      <c r="R220" s="1964"/>
      <c r="T220" s="2117"/>
      <c r="U220" s="2117"/>
      <c r="V220" s="2117"/>
      <c r="W220" s="2117"/>
      <c r="X220" s="2117"/>
      <c r="Y220" s="2117"/>
      <c r="Z220" s="885"/>
      <c r="AA220" s="885"/>
      <c r="AB220" s="1961">
        <f t="shared" si="0"/>
        <v>0</v>
      </c>
      <c r="AC220" s="1961"/>
      <c r="AD220" s="1961"/>
      <c r="AE220" s="1961"/>
      <c r="AF220" s="1961"/>
      <c r="AG220" s="1961"/>
      <c r="AH220" s="861"/>
      <c r="AI220" s="861"/>
      <c r="AJ220" s="861"/>
      <c r="AK220" s="644"/>
    </row>
    <row r="221" spans="1:37">
      <c r="A221" s="639"/>
      <c r="B221" s="1960" t="s">
        <v>1291</v>
      </c>
      <c r="C221" s="1960"/>
      <c r="D221" s="1960"/>
      <c r="E221" s="1960"/>
      <c r="F221" s="1960"/>
      <c r="G221" s="1960"/>
      <c r="I221" s="1959"/>
      <c r="J221" s="1959"/>
      <c r="K221" s="1959"/>
      <c r="L221" s="1050"/>
      <c r="N221" s="1964"/>
      <c r="O221" s="1964"/>
      <c r="P221" s="1964"/>
      <c r="Q221" s="1964"/>
      <c r="R221" s="1964"/>
      <c r="T221" s="2117"/>
      <c r="U221" s="2117"/>
      <c r="V221" s="2117"/>
      <c r="W221" s="2117"/>
      <c r="X221" s="2117"/>
      <c r="Y221" s="2117"/>
      <c r="Z221" s="885"/>
      <c r="AA221" s="885"/>
      <c r="AB221" s="1961">
        <f t="shared" si="0"/>
        <v>0</v>
      </c>
      <c r="AC221" s="1961"/>
      <c r="AD221" s="1961"/>
      <c r="AE221" s="1961"/>
      <c r="AF221" s="1961"/>
      <c r="AG221" s="1961"/>
      <c r="AH221" s="861"/>
      <c r="AI221" s="861"/>
      <c r="AJ221" s="861"/>
      <c r="AK221" s="644"/>
    </row>
    <row r="222" spans="1:37">
      <c r="A222" s="639"/>
      <c r="B222" s="1960" t="s">
        <v>1291</v>
      </c>
      <c r="C222" s="1960"/>
      <c r="D222" s="1960"/>
      <c r="E222" s="1960"/>
      <c r="F222" s="1960"/>
      <c r="G222" s="1960"/>
      <c r="I222" s="1962"/>
      <c r="J222" s="1962"/>
      <c r="K222" s="1962"/>
      <c r="L222" s="1050"/>
      <c r="N222" s="1964"/>
      <c r="O222" s="1964"/>
      <c r="P222" s="1964"/>
      <c r="Q222" s="1964"/>
      <c r="R222" s="1964"/>
      <c r="T222" s="2117"/>
      <c r="U222" s="2117"/>
      <c r="V222" s="2117"/>
      <c r="W222" s="2117"/>
      <c r="X222" s="2117"/>
      <c r="Y222" s="2117"/>
      <c r="Z222" s="885"/>
      <c r="AA222" s="885"/>
      <c r="AB222" s="2115">
        <f t="shared" si="0"/>
        <v>0</v>
      </c>
      <c r="AC222" s="2115"/>
      <c r="AD222" s="2115"/>
      <c r="AE222" s="2115"/>
      <c r="AF222" s="2115"/>
      <c r="AG222" s="21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61">
        <f>SUM(AB213:AB222)</f>
        <v>1314816</v>
      </c>
      <c r="AC223" s="1961"/>
      <c r="AD223" s="1961"/>
      <c r="AE223" s="1961"/>
      <c r="AF223" s="1961"/>
      <c r="AG223" s="196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0">
        <f>AB223</f>
        <v>1314816</v>
      </c>
      <c r="AC229" s="2120"/>
      <c r="AD229" s="2120"/>
      <c r="AE229" s="2120"/>
      <c r="AF229" s="2120"/>
      <c r="AG229" s="2120"/>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0"/>
      <c r="AC232" s="2120"/>
      <c r="AD232" s="2120"/>
      <c r="AE232" s="2120"/>
      <c r="AF232" s="2120"/>
      <c r="AG232" s="2120"/>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3"/>
      <c r="AC233" s="2143"/>
      <c r="AD233" s="2143"/>
      <c r="AE233" s="2143"/>
      <c r="AF233" s="2143"/>
      <c r="AG233" s="2143"/>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6">
        <f>IFERROR(AB232/AB233,0)</f>
        <v>0</v>
      </c>
      <c r="AC234" s="2126"/>
      <c r="AD234" s="2126"/>
      <c r="AE234" s="2126"/>
      <c r="AF234" s="2126"/>
      <c r="AG234" s="212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5">
        <f>MAX(AB229,AB234)</f>
        <v>1314816</v>
      </c>
      <c r="AC236" s="2115"/>
      <c r="AD236" s="2115"/>
      <c r="AE236" s="2115"/>
      <c r="AF236" s="2115"/>
      <c r="AG236" s="21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1">
        <f>AB223+AB236</f>
        <v>2629632</v>
      </c>
      <c r="AC239" s="1961"/>
      <c r="AD239" s="1961"/>
      <c r="AE239" s="1961"/>
      <c r="AF239" s="1961"/>
      <c r="AG239" s="1961"/>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1">
        <v>0.05</v>
      </c>
      <c r="AC240" s="1991"/>
      <c r="AD240" s="1991"/>
      <c r="AE240" s="1991"/>
      <c r="AF240" s="1991"/>
      <c r="AG240" s="1991"/>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2">
        <f>AB239-(AB239*AB240)</f>
        <v>2498150.3999999999</v>
      </c>
      <c r="AC241" s="1992"/>
      <c r="AD241" s="1992"/>
      <c r="AE241" s="1992"/>
      <c r="AF241" s="1992"/>
      <c r="AG241" s="1992"/>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1">
        <f>AB241/AB247</f>
        <v>2172304.6956521738</v>
      </c>
      <c r="AC243" s="1961"/>
      <c r="AD243" s="1961"/>
      <c r="AE243" s="1961"/>
      <c r="AF243" s="1961"/>
      <c r="AG243" s="196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3">
        <v>15</v>
      </c>
      <c r="AC245" s="1953"/>
      <c r="AD245" s="1953"/>
      <c r="AE245" s="1953"/>
      <c r="AF245" s="1953"/>
      <c r="AG245" s="1953"/>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3">
        <v>0.04</v>
      </c>
      <c r="AC246" s="1993"/>
      <c r="AD246" s="1993"/>
      <c r="AE246" s="1993"/>
      <c r="AF246" s="1993"/>
      <c r="AG246" s="199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5">
        <v>1.1499999999999999</v>
      </c>
      <c r="AC247" s="1965"/>
      <c r="AD247" s="1965"/>
      <c r="AE247" s="1965"/>
      <c r="AF247" s="1965"/>
      <c r="AG247" s="196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4">
        <f>PV(AB246/12,AB245*12,-AB243/12, ,0)</f>
        <v>24473211.612213809</v>
      </c>
      <c r="AC249" s="1985"/>
      <c r="AD249" s="1985"/>
      <c r="AE249" s="1985"/>
      <c r="AF249" s="1985"/>
      <c r="AG249" s="198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8">
        <f>IFERROR(('Sources and Uses Budget'!D105/'Sources and Uses Budget'!B105),0)</f>
        <v>0</v>
      </c>
      <c r="AC255" s="1989"/>
      <c r="AD255" s="1989"/>
      <c r="AE255" s="1989"/>
      <c r="AF255" s="1989"/>
      <c r="AG255" s="199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8">
        <f>AD200*(1-AB255)</f>
        <v>24473211.612213809</v>
      </c>
      <c r="AH257" s="1978"/>
      <c r="AI257" s="1978"/>
      <c r="AJ257" s="1978"/>
      <c r="AK257" s="1978"/>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8">
        <f>'Sources and Uses Budget'!C105</f>
        <v>102656506.58000001</v>
      </c>
      <c r="AH258" s="1978"/>
      <c r="AI258" s="1978"/>
      <c r="AJ258" s="1978"/>
      <c r="AK258" s="197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9">
        <f>ROUNDDOWN(IF(AND(C281="Yes",AK78=10),((AG257*2)/AG258),AG257/AG258),2)</f>
        <v>0.47</v>
      </c>
      <c r="AH259" s="1979"/>
      <c r="AI259" s="1979"/>
      <c r="AJ259" s="1979"/>
      <c r="AK259" s="1979"/>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80">
        <f>IFERROR(IF(AG259=0,0,IF((AG259*100)&gt;8,8,(AG259*100))),0)</f>
        <v>8</v>
      </c>
      <c r="AL262" s="1980"/>
      <c r="AM262" s="198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2" t="s">
        <v>554</v>
      </c>
      <c r="D267" s="1972"/>
      <c r="E267" s="581"/>
      <c r="F267" s="2129" t="s">
        <v>2335</v>
      </c>
      <c r="G267" s="2130"/>
      <c r="H267" s="2130"/>
      <c r="I267" s="2130"/>
      <c r="J267" s="2130"/>
      <c r="K267" s="2130"/>
      <c r="L267" s="2130"/>
      <c r="M267" s="2130"/>
      <c r="N267" s="2130"/>
      <c r="O267" s="2130"/>
      <c r="P267" s="2130"/>
      <c r="Q267" s="2130"/>
      <c r="R267" s="2130"/>
      <c r="S267" s="2130"/>
      <c r="T267" s="2130"/>
      <c r="U267" s="2130"/>
      <c r="V267" s="2130"/>
      <c r="W267" s="2130"/>
      <c r="X267" s="2130"/>
      <c r="Y267" s="2130"/>
      <c r="Z267" s="2130"/>
      <c r="AA267" s="2130"/>
      <c r="AB267" s="2130"/>
      <c r="AC267" s="2130"/>
      <c r="AD267" s="2131"/>
      <c r="AE267" s="584"/>
      <c r="AF267" s="669"/>
      <c r="AG267" s="1973" t="s">
        <v>1475</v>
      </c>
      <c r="AH267" s="1973"/>
      <c r="AI267" s="1973"/>
      <c r="AJ267" s="1973"/>
      <c r="AK267" s="584"/>
      <c r="AL267" s="584"/>
      <c r="AM267" s="584"/>
      <c r="AO267" s="584"/>
    </row>
    <row r="268" spans="1:52" ht="13.7" customHeight="1">
      <c r="A268" s="584"/>
      <c r="B268" s="630"/>
      <c r="C268" s="670"/>
      <c r="D268" s="584"/>
      <c r="E268" s="581"/>
      <c r="F268" s="2132"/>
      <c r="G268" s="2133"/>
      <c r="H268" s="2133"/>
      <c r="I268" s="2133"/>
      <c r="J268" s="2133"/>
      <c r="K268" s="2133"/>
      <c r="L268" s="2133"/>
      <c r="M268" s="2133"/>
      <c r="N268" s="2133"/>
      <c r="O268" s="2133"/>
      <c r="P268" s="2133"/>
      <c r="Q268" s="2133"/>
      <c r="R268" s="2133"/>
      <c r="S268" s="2133"/>
      <c r="T268" s="2133"/>
      <c r="U268" s="2133"/>
      <c r="V268" s="2133"/>
      <c r="W268" s="2133"/>
      <c r="X268" s="2133"/>
      <c r="Y268" s="2133"/>
      <c r="Z268" s="2133"/>
      <c r="AA268" s="2133"/>
      <c r="AB268" s="2133"/>
      <c r="AC268" s="2133"/>
      <c r="AD268" s="2134"/>
      <c r="AE268" s="584"/>
      <c r="AF268" s="669"/>
      <c r="AG268" s="669"/>
      <c r="AH268" s="669"/>
      <c r="AI268" s="669"/>
      <c r="AJ268" s="584"/>
      <c r="AK268" s="584"/>
      <c r="AL268" s="584"/>
      <c r="AM268" s="584"/>
      <c r="AO268" s="584"/>
    </row>
    <row r="269" spans="1:52">
      <c r="A269" s="584"/>
      <c r="B269" s="630"/>
      <c r="C269" s="670"/>
      <c r="D269" s="584"/>
      <c r="E269" s="581"/>
      <c r="F269" s="2132"/>
      <c r="G269" s="2133"/>
      <c r="H269" s="2133"/>
      <c r="I269" s="2133"/>
      <c r="J269" s="2133"/>
      <c r="K269" s="2133"/>
      <c r="L269" s="2133"/>
      <c r="M269" s="2133"/>
      <c r="N269" s="2133"/>
      <c r="O269" s="2133"/>
      <c r="P269" s="2133"/>
      <c r="Q269" s="2133"/>
      <c r="R269" s="2133"/>
      <c r="S269" s="2133"/>
      <c r="T269" s="2133"/>
      <c r="U269" s="2133"/>
      <c r="V269" s="2133"/>
      <c r="W269" s="2133"/>
      <c r="X269" s="2133"/>
      <c r="Y269" s="2133"/>
      <c r="Z269" s="2133"/>
      <c r="AA269" s="2133"/>
      <c r="AB269" s="2133"/>
      <c r="AC269" s="2133"/>
      <c r="AD269" s="2134"/>
      <c r="AE269" s="584"/>
      <c r="AF269" s="669"/>
      <c r="AG269" s="669"/>
      <c r="AH269" s="669"/>
      <c r="AI269" s="669"/>
      <c r="AJ269" s="584"/>
      <c r="AK269" s="584"/>
      <c r="AL269" s="584"/>
      <c r="AM269" s="584"/>
      <c r="AO269" s="584"/>
      <c r="AP269" s="671"/>
    </row>
    <row r="270" spans="1:52">
      <c r="A270" s="584"/>
      <c r="B270" s="630"/>
      <c r="C270" s="670"/>
      <c r="D270" s="584"/>
      <c r="E270" s="581"/>
      <c r="F270" s="2132"/>
      <c r="G270" s="2133"/>
      <c r="H270" s="2133"/>
      <c r="I270" s="2133"/>
      <c r="J270" s="2133"/>
      <c r="K270" s="2133"/>
      <c r="L270" s="2133"/>
      <c r="M270" s="2133"/>
      <c r="N270" s="2133"/>
      <c r="O270" s="2133"/>
      <c r="P270" s="2133"/>
      <c r="Q270" s="2133"/>
      <c r="R270" s="2133"/>
      <c r="S270" s="2133"/>
      <c r="T270" s="2133"/>
      <c r="U270" s="2133"/>
      <c r="V270" s="2133"/>
      <c r="W270" s="2133"/>
      <c r="X270" s="2133"/>
      <c r="Y270" s="2133"/>
      <c r="Z270" s="2133"/>
      <c r="AA270" s="2133"/>
      <c r="AB270" s="2133"/>
      <c r="AC270" s="2133"/>
      <c r="AD270" s="2134"/>
      <c r="AE270" s="584"/>
      <c r="AF270" s="669"/>
      <c r="AG270" s="669"/>
      <c r="AH270" s="669"/>
      <c r="AI270" s="669"/>
      <c r="AJ270" s="584"/>
      <c r="AK270" s="584"/>
      <c r="AL270" s="584"/>
      <c r="AM270" s="584"/>
      <c r="AO270" s="584"/>
      <c r="AP270" s="671"/>
    </row>
    <row r="271" spans="1:52" ht="13.7" customHeight="1">
      <c r="A271" s="584"/>
      <c r="B271" s="630"/>
      <c r="C271" s="1974"/>
      <c r="D271" s="1974"/>
      <c r="E271" s="581"/>
      <c r="F271" s="2135"/>
      <c r="G271" s="2136"/>
      <c r="H271" s="2136"/>
      <c r="I271" s="2136"/>
      <c r="J271" s="2136"/>
      <c r="K271" s="2136"/>
      <c r="L271" s="2136"/>
      <c r="M271" s="2136"/>
      <c r="N271" s="2136"/>
      <c r="O271" s="2136"/>
      <c r="P271" s="2136"/>
      <c r="Q271" s="2136"/>
      <c r="R271" s="2136"/>
      <c r="S271" s="2136"/>
      <c r="T271" s="2136"/>
      <c r="U271" s="2136"/>
      <c r="V271" s="2136"/>
      <c r="W271" s="2136"/>
      <c r="X271" s="2136"/>
      <c r="Y271" s="2136"/>
      <c r="Z271" s="2136"/>
      <c r="AA271" s="2136"/>
      <c r="AB271" s="2136"/>
      <c r="AC271" s="2136"/>
      <c r="AD271" s="2137"/>
      <c r="AE271" s="584"/>
      <c r="AF271" s="669"/>
      <c r="AG271" s="1973"/>
      <c r="AH271" s="1973"/>
      <c r="AI271" s="1973"/>
      <c r="AJ271" s="197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80">
        <f>IF($C$267="yes",10,0)</f>
        <v>10</v>
      </c>
      <c r="AL274" s="1980"/>
      <c r="AM274" s="198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6" t="s">
        <v>1494</v>
      </c>
      <c r="B281" s="1666"/>
      <c r="C281" s="1969" t="s">
        <v>554</v>
      </c>
      <c r="D281" s="1972"/>
      <c r="E281" s="581"/>
      <c r="F281" s="2000" t="s">
        <v>1495</v>
      </c>
      <c r="G281" s="2001"/>
      <c r="H281" s="2001"/>
      <c r="I281" s="2001"/>
      <c r="J281" s="2001"/>
      <c r="K281" s="2001"/>
      <c r="L281" s="2001"/>
      <c r="M281" s="2001"/>
      <c r="N281" s="2001"/>
      <c r="O281" s="2001"/>
      <c r="P281" s="2001"/>
      <c r="Q281" s="2001"/>
      <c r="R281" s="2001"/>
      <c r="S281" s="2001"/>
      <c r="T281" s="2001"/>
      <c r="U281" s="2001"/>
      <c r="V281" s="2001"/>
      <c r="W281" s="2001"/>
      <c r="X281" s="2001"/>
      <c r="Y281" s="2001"/>
      <c r="Z281" s="2001"/>
      <c r="AA281" s="2001"/>
      <c r="AB281" s="2001"/>
      <c r="AC281" s="2001"/>
      <c r="AD281" s="2002"/>
      <c r="AE281" s="676"/>
      <c r="AF281" s="584"/>
      <c r="AG281" s="2003" t="s">
        <v>2328</v>
      </c>
      <c r="AH281" s="2003"/>
      <c r="AI281" s="2003"/>
      <c r="AJ281" s="2003"/>
      <c r="AK281" s="2003"/>
      <c r="AL281" s="584"/>
      <c r="AM281" s="584"/>
      <c r="AN281" s="73"/>
      <c r="AO281" s="14"/>
      <c r="AP281" s="30"/>
      <c r="AS281" s="604"/>
      <c r="AT281" s="604"/>
      <c r="AU281" s="604"/>
      <c r="AV281" s="32"/>
      <c r="AW281" s="32"/>
    </row>
    <row r="282" spans="1:49">
      <c r="A282" s="674"/>
      <c r="B282" s="630"/>
      <c r="F282" s="1994"/>
      <c r="G282" s="1995"/>
      <c r="H282" s="1995"/>
      <c r="I282" s="1995"/>
      <c r="J282" s="1995"/>
      <c r="K282" s="1995"/>
      <c r="L282" s="1995"/>
      <c r="M282" s="1995"/>
      <c r="N282" s="1995"/>
      <c r="O282" s="1995"/>
      <c r="P282" s="1995"/>
      <c r="Q282" s="1995"/>
      <c r="R282" s="1995"/>
      <c r="S282" s="1995"/>
      <c r="T282" s="1995"/>
      <c r="U282" s="1995"/>
      <c r="V282" s="1995"/>
      <c r="W282" s="1995"/>
      <c r="X282" s="1995"/>
      <c r="Y282" s="1995"/>
      <c r="Z282" s="1995"/>
      <c r="AA282" s="1995"/>
      <c r="AB282" s="1995"/>
      <c r="AC282" s="1995"/>
      <c r="AD282" s="1996"/>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4"/>
      <c r="G283" s="1995"/>
      <c r="H283" s="1995"/>
      <c r="I283" s="1995"/>
      <c r="J283" s="1995"/>
      <c r="K283" s="1995"/>
      <c r="L283" s="1995"/>
      <c r="M283" s="1995"/>
      <c r="N283" s="1995"/>
      <c r="O283" s="1995"/>
      <c r="P283" s="1995"/>
      <c r="Q283" s="1995"/>
      <c r="R283" s="1995"/>
      <c r="S283" s="1995"/>
      <c r="T283" s="1995"/>
      <c r="U283" s="1995"/>
      <c r="V283" s="1995"/>
      <c r="W283" s="1995"/>
      <c r="X283" s="1995"/>
      <c r="Y283" s="1995"/>
      <c r="Z283" s="1995"/>
      <c r="AA283" s="1995"/>
      <c r="AB283" s="1995"/>
      <c r="AC283" s="1995"/>
      <c r="AD283" s="199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4" t="s">
        <v>2336</v>
      </c>
      <c r="G284" s="1995"/>
      <c r="H284" s="1995"/>
      <c r="I284" s="1995"/>
      <c r="J284" s="1995"/>
      <c r="K284" s="1995"/>
      <c r="L284" s="1995"/>
      <c r="M284" s="1995"/>
      <c r="N284" s="1995"/>
      <c r="O284" s="1995"/>
      <c r="P284" s="1995"/>
      <c r="Q284" s="1995"/>
      <c r="R284" s="1995"/>
      <c r="S284" s="1995"/>
      <c r="T284" s="1995"/>
      <c r="U284" s="1995"/>
      <c r="V284" s="1995"/>
      <c r="W284" s="1995"/>
      <c r="X284" s="1995"/>
      <c r="Y284" s="1995"/>
      <c r="Z284" s="1995"/>
      <c r="AA284" s="1995"/>
      <c r="AB284" s="1995"/>
      <c r="AC284" s="1995"/>
      <c r="AD284" s="1996"/>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94"/>
      <c r="G285" s="1995"/>
      <c r="H285" s="1995"/>
      <c r="I285" s="1995"/>
      <c r="J285" s="1995"/>
      <c r="K285" s="1995"/>
      <c r="L285" s="1995"/>
      <c r="M285" s="1995"/>
      <c r="N285" s="1995"/>
      <c r="O285" s="1995"/>
      <c r="P285" s="1995"/>
      <c r="Q285" s="1995"/>
      <c r="R285" s="1995"/>
      <c r="S285" s="1995"/>
      <c r="T285" s="1995"/>
      <c r="U285" s="1995"/>
      <c r="V285" s="1995"/>
      <c r="W285" s="1995"/>
      <c r="X285" s="1995"/>
      <c r="Y285" s="1995"/>
      <c r="Z285" s="1995"/>
      <c r="AA285" s="1995"/>
      <c r="AB285" s="1995"/>
      <c r="AC285" s="1995"/>
      <c r="AD285" s="199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4" t="s">
        <v>1496</v>
      </c>
      <c r="G286" s="1995"/>
      <c r="H286" s="1995"/>
      <c r="I286" s="1995"/>
      <c r="J286" s="1995"/>
      <c r="K286" s="1995"/>
      <c r="L286" s="1995"/>
      <c r="M286" s="1995"/>
      <c r="N286" s="1995"/>
      <c r="O286" s="1995"/>
      <c r="P286" s="1995"/>
      <c r="Q286" s="1995"/>
      <c r="R286" s="1995"/>
      <c r="S286" s="1995"/>
      <c r="T286" s="1995"/>
      <c r="U286" s="1995"/>
      <c r="V286" s="1995"/>
      <c r="W286" s="1995"/>
      <c r="X286" s="1995"/>
      <c r="Y286" s="1995"/>
      <c r="Z286" s="1995"/>
      <c r="AA286" s="1995"/>
      <c r="AB286" s="1995"/>
      <c r="AC286" s="1995"/>
      <c r="AD286" s="199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4"/>
      <c r="G287" s="1995"/>
      <c r="H287" s="1995"/>
      <c r="I287" s="1995"/>
      <c r="J287" s="1995"/>
      <c r="K287" s="1995"/>
      <c r="L287" s="1995"/>
      <c r="M287" s="1995"/>
      <c r="N287" s="1995"/>
      <c r="O287" s="1995"/>
      <c r="P287" s="1995"/>
      <c r="Q287" s="1995"/>
      <c r="R287" s="1995"/>
      <c r="S287" s="1995"/>
      <c r="T287" s="1995"/>
      <c r="U287" s="1995"/>
      <c r="V287" s="1995"/>
      <c r="W287" s="1995"/>
      <c r="X287" s="1995"/>
      <c r="Y287" s="1995"/>
      <c r="Z287" s="1995"/>
      <c r="AA287" s="1995"/>
      <c r="AB287" s="1995"/>
      <c r="AC287" s="1995"/>
      <c r="AD287" s="199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4" t="s">
        <v>1497</v>
      </c>
      <c r="G288" s="1995"/>
      <c r="H288" s="1995"/>
      <c r="I288" s="1995"/>
      <c r="J288" s="1995"/>
      <c r="K288" s="1995"/>
      <c r="L288" s="1995"/>
      <c r="M288" s="1995"/>
      <c r="N288" s="1995"/>
      <c r="O288" s="1995"/>
      <c r="P288" s="1995"/>
      <c r="Q288" s="1995"/>
      <c r="R288" s="1995"/>
      <c r="S288" s="1995"/>
      <c r="T288" s="1995"/>
      <c r="U288" s="1995"/>
      <c r="V288" s="1995"/>
      <c r="W288" s="1995"/>
      <c r="X288" s="1995"/>
      <c r="Y288" s="1995"/>
      <c r="Z288" s="1995"/>
      <c r="AA288" s="1995"/>
      <c r="AB288" s="1995"/>
      <c r="AC288" s="1995"/>
      <c r="AD288" s="199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7"/>
      <c r="G289" s="1998"/>
      <c r="H289" s="1998"/>
      <c r="I289" s="1998"/>
      <c r="J289" s="1998"/>
      <c r="K289" s="1998"/>
      <c r="L289" s="1998"/>
      <c r="M289" s="1998"/>
      <c r="N289" s="1998"/>
      <c r="O289" s="1998"/>
      <c r="P289" s="1998"/>
      <c r="Q289" s="1998"/>
      <c r="R289" s="1998"/>
      <c r="S289" s="1998"/>
      <c r="T289" s="1998"/>
      <c r="U289" s="1998"/>
      <c r="V289" s="1998"/>
      <c r="W289" s="1998"/>
      <c r="X289" s="1998"/>
      <c r="Y289" s="1998"/>
      <c r="Z289" s="1998"/>
      <c r="AA289" s="1998"/>
      <c r="AB289" s="1998"/>
      <c r="AC289" s="1998"/>
      <c r="AD289" s="199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6" t="s">
        <v>1498</v>
      </c>
      <c r="B291" s="1666"/>
      <c r="C291" s="1972" t="s">
        <v>600</v>
      </c>
      <c r="D291" s="1972"/>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7" t="s">
        <v>2330</v>
      </c>
      <c r="G292" s="1908"/>
      <c r="H292" s="1908"/>
      <c r="I292" s="1908"/>
      <c r="J292" s="1908"/>
      <c r="K292" s="1908"/>
      <c r="L292" s="1908"/>
      <c r="M292" s="1908"/>
      <c r="N292" s="1908"/>
      <c r="O292" s="1908"/>
      <c r="P292" s="1908"/>
      <c r="Q292" s="1908"/>
      <c r="R292" s="1908"/>
      <c r="S292" s="1908"/>
      <c r="T292" s="1908"/>
      <c r="U292" s="1908"/>
      <c r="V292" s="1908"/>
      <c r="W292" s="1908"/>
      <c r="X292" s="1908"/>
      <c r="Y292" s="1908"/>
      <c r="Z292" s="1908"/>
      <c r="AA292" s="1908"/>
      <c r="AB292" s="1908"/>
      <c r="AC292" s="1908"/>
      <c r="AD292" s="1909"/>
      <c r="AE292" s="585"/>
      <c r="AF292" s="585"/>
      <c r="AG292" s="585"/>
      <c r="AH292" s="585"/>
      <c r="AI292" s="585"/>
      <c r="AJ292" s="584"/>
      <c r="AK292" s="584"/>
      <c r="AL292" s="584"/>
      <c r="AM292" s="584"/>
      <c r="AR292" s="682"/>
    </row>
    <row r="293" spans="1:49" ht="15" customHeight="1">
      <c r="A293" s="584"/>
      <c r="B293" s="585"/>
      <c r="C293" s="584"/>
      <c r="D293" s="585"/>
      <c r="E293" s="584"/>
      <c r="F293" s="1907"/>
      <c r="G293" s="1908"/>
      <c r="H293" s="1908"/>
      <c r="I293" s="1908"/>
      <c r="J293" s="1908"/>
      <c r="K293" s="1908"/>
      <c r="L293" s="1908"/>
      <c r="M293" s="1908"/>
      <c r="N293" s="1908"/>
      <c r="O293" s="1908"/>
      <c r="P293" s="1908"/>
      <c r="Q293" s="1908"/>
      <c r="R293" s="1908"/>
      <c r="S293" s="1908"/>
      <c r="T293" s="1908"/>
      <c r="U293" s="1908"/>
      <c r="V293" s="1908"/>
      <c r="W293" s="1908"/>
      <c r="X293" s="1908"/>
      <c r="Y293" s="1908"/>
      <c r="Z293" s="1908"/>
      <c r="AA293" s="1908"/>
      <c r="AB293" s="1908"/>
      <c r="AC293" s="1908"/>
      <c r="AD293" s="1909"/>
      <c r="AE293" s="585"/>
      <c r="AF293" s="585"/>
      <c r="AG293" s="585"/>
      <c r="AH293" s="585"/>
      <c r="AI293" s="585"/>
      <c r="AJ293" s="584"/>
      <c r="AK293" s="584"/>
      <c r="AL293" s="584"/>
      <c r="AM293" s="584"/>
      <c r="AR293" s="682"/>
    </row>
    <row r="294" spans="1:49">
      <c r="A294" s="584"/>
      <c r="B294" s="585"/>
      <c r="C294" s="584"/>
      <c r="D294" s="585"/>
      <c r="E294" s="584"/>
      <c r="F294" s="1907"/>
      <c r="G294" s="1908"/>
      <c r="H294" s="1908"/>
      <c r="I294" s="1908"/>
      <c r="J294" s="1908"/>
      <c r="K294" s="1908"/>
      <c r="L294" s="1908"/>
      <c r="M294" s="1908"/>
      <c r="N294" s="1908"/>
      <c r="O294" s="1908"/>
      <c r="P294" s="1908"/>
      <c r="Q294" s="1908"/>
      <c r="R294" s="1908"/>
      <c r="S294" s="1908"/>
      <c r="T294" s="1908"/>
      <c r="U294" s="1908"/>
      <c r="V294" s="1908"/>
      <c r="W294" s="1908"/>
      <c r="X294" s="1908"/>
      <c r="Y294" s="1908"/>
      <c r="Z294" s="1908"/>
      <c r="AA294" s="1908"/>
      <c r="AB294" s="1908"/>
      <c r="AC294" s="1908"/>
      <c r="AD294" s="190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4"/>
      <c r="G295" s="1905"/>
      <c r="H295" s="1905"/>
      <c r="I295" s="1905"/>
      <c r="J295" s="1905"/>
      <c r="K295" s="1905"/>
      <c r="L295" s="1905"/>
      <c r="M295" s="1905"/>
      <c r="N295" s="1905"/>
      <c r="O295" s="1905"/>
      <c r="P295" s="1905"/>
      <c r="Q295" s="1905"/>
      <c r="R295" s="1905"/>
      <c r="S295" s="1905"/>
      <c r="T295" s="1905"/>
      <c r="U295" s="1905"/>
      <c r="V295" s="1905"/>
      <c r="W295" s="1905"/>
      <c r="X295" s="1905"/>
      <c r="Y295" s="1905"/>
      <c r="Z295" s="1905"/>
      <c r="AA295" s="1905"/>
      <c r="AB295" s="1905"/>
      <c r="AC295" s="1905"/>
      <c r="AD295" s="190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6" t="s">
        <v>1501</v>
      </c>
      <c r="B299" s="1666"/>
      <c r="C299" s="1972" t="s">
        <v>600</v>
      </c>
      <c r="D299" s="1972"/>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4" t="s">
        <v>2337</v>
      </c>
      <c r="G300" s="1995"/>
      <c r="H300" s="1995"/>
      <c r="I300" s="1995"/>
      <c r="J300" s="1995"/>
      <c r="K300" s="1995"/>
      <c r="L300" s="1995"/>
      <c r="M300" s="1995"/>
      <c r="N300" s="1995"/>
      <c r="O300" s="1995"/>
      <c r="P300" s="1995"/>
      <c r="Q300" s="1995"/>
      <c r="R300" s="1995"/>
      <c r="S300" s="1995"/>
      <c r="T300" s="1995"/>
      <c r="U300" s="1995"/>
      <c r="V300" s="1995"/>
      <c r="W300" s="1995"/>
      <c r="X300" s="1995"/>
      <c r="Y300" s="1995"/>
      <c r="Z300" s="1995"/>
      <c r="AA300" s="1995"/>
      <c r="AB300" s="1995"/>
      <c r="AC300" s="1995"/>
      <c r="AD300" s="1996"/>
      <c r="AE300" s="585"/>
      <c r="AF300" s="585"/>
      <c r="AG300" s="573"/>
      <c r="AH300" s="585"/>
      <c r="AI300" s="585"/>
      <c r="AJ300" s="584"/>
      <c r="AK300" s="584"/>
      <c r="AL300" s="584"/>
      <c r="AM300" s="584"/>
      <c r="AN300" s="73"/>
      <c r="AO300" s="14"/>
      <c r="AP300" s="591" t="s">
        <v>1291</v>
      </c>
    </row>
    <row r="301" spans="1:49" hidden="1">
      <c r="F301" s="1994"/>
      <c r="G301" s="1995"/>
      <c r="H301" s="1995"/>
      <c r="I301" s="1995"/>
      <c r="J301" s="1995"/>
      <c r="K301" s="1995"/>
      <c r="L301" s="1995"/>
      <c r="M301" s="1995"/>
      <c r="N301" s="1995"/>
      <c r="O301" s="1995"/>
      <c r="P301" s="1995"/>
      <c r="Q301" s="1995"/>
      <c r="R301" s="1995"/>
      <c r="S301" s="1995"/>
      <c r="T301" s="1995"/>
      <c r="U301" s="1995"/>
      <c r="V301" s="1995"/>
      <c r="W301" s="1995"/>
      <c r="X301" s="1995"/>
      <c r="Y301" s="1995"/>
      <c r="Z301" s="1995"/>
      <c r="AA301" s="1995"/>
      <c r="AB301" s="1995"/>
      <c r="AC301" s="1995"/>
      <c r="AD301" s="1996"/>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4" t="s">
        <v>1291</v>
      </c>
      <c r="G305" s="2005"/>
      <c r="H305" s="2005"/>
      <c r="I305" s="2005"/>
      <c r="J305" s="2005"/>
      <c r="K305" s="2005"/>
      <c r="L305" s="2005"/>
      <c r="M305" s="2005"/>
      <c r="N305" s="2005"/>
      <c r="O305" s="2005"/>
      <c r="P305" s="2005"/>
      <c r="Q305" s="2005"/>
      <c r="R305" s="2005"/>
      <c r="S305" s="2005"/>
      <c r="T305" s="2005"/>
      <c r="U305" s="2005"/>
      <c r="V305" s="2005"/>
      <c r="W305" s="2005"/>
      <c r="X305" s="2005"/>
      <c r="Y305" s="2005"/>
      <c r="Z305" s="2005"/>
      <c r="AA305" s="2005"/>
      <c r="AB305" s="2005"/>
      <c r="AC305" s="2005"/>
      <c r="AD305" s="2006"/>
      <c r="AE305" s="676"/>
      <c r="AF305" s="676"/>
      <c r="AG305" s="676"/>
      <c r="AH305" s="676"/>
      <c r="AI305" s="676"/>
      <c r="AJ305" s="676"/>
      <c r="AK305" s="676"/>
      <c r="AL305" s="584"/>
      <c r="AM305" s="584"/>
      <c r="AN305" s="73"/>
      <c r="AO305" s="14"/>
      <c r="AP305" s="30"/>
    </row>
    <row r="306" spans="1:42" hidden="1">
      <c r="A306" s="584"/>
      <c r="B306" s="585"/>
      <c r="C306" s="764"/>
      <c r="D306" s="764"/>
      <c r="E306" s="581"/>
      <c r="F306" s="2004"/>
      <c r="G306" s="2005"/>
      <c r="H306" s="2005"/>
      <c r="I306" s="2005"/>
      <c r="J306" s="2005"/>
      <c r="K306" s="2005"/>
      <c r="L306" s="2005"/>
      <c r="M306" s="2005"/>
      <c r="N306" s="2005"/>
      <c r="O306" s="2005"/>
      <c r="P306" s="2005"/>
      <c r="Q306" s="2005"/>
      <c r="R306" s="2005"/>
      <c r="S306" s="2005"/>
      <c r="T306" s="2005"/>
      <c r="U306" s="2005"/>
      <c r="V306" s="2005"/>
      <c r="W306" s="2005"/>
      <c r="X306" s="2005"/>
      <c r="Y306" s="2005"/>
      <c r="Z306" s="2005"/>
      <c r="AA306" s="2005"/>
      <c r="AB306" s="2005"/>
      <c r="AC306" s="2005"/>
      <c r="AD306" s="2006"/>
      <c r="AE306" s="585"/>
      <c r="AF306" s="585"/>
      <c r="AG306" s="573"/>
      <c r="AH306" s="585"/>
      <c r="AI306" s="585"/>
      <c r="AJ306" s="584"/>
      <c r="AK306" s="584"/>
      <c r="AL306" s="584"/>
      <c r="AM306" s="584"/>
      <c r="AN306" s="73"/>
      <c r="AO306" s="14"/>
      <c r="AP306" s="30"/>
    </row>
    <row r="307" spans="1:42" hidden="1">
      <c r="A307" s="584"/>
      <c r="B307" s="585"/>
      <c r="C307" s="764"/>
      <c r="D307" s="764"/>
      <c r="E307" s="581"/>
      <c r="F307" s="2004"/>
      <c r="G307" s="2005"/>
      <c r="H307" s="2005"/>
      <c r="I307" s="2005"/>
      <c r="J307" s="2005"/>
      <c r="K307" s="2005"/>
      <c r="L307" s="2005"/>
      <c r="M307" s="2005"/>
      <c r="N307" s="2005"/>
      <c r="O307" s="2005"/>
      <c r="P307" s="2005"/>
      <c r="Q307" s="2005"/>
      <c r="R307" s="2005"/>
      <c r="S307" s="2005"/>
      <c r="T307" s="2005"/>
      <c r="U307" s="2005"/>
      <c r="V307" s="2005"/>
      <c r="W307" s="2005"/>
      <c r="X307" s="2005"/>
      <c r="Y307" s="2005"/>
      <c r="Z307" s="2005"/>
      <c r="AA307" s="2005"/>
      <c r="AB307" s="2005"/>
      <c r="AC307" s="2005"/>
      <c r="AD307" s="2006"/>
      <c r="AE307" s="585"/>
      <c r="AF307" s="585"/>
      <c r="AG307" s="573"/>
      <c r="AH307" s="585"/>
      <c r="AI307" s="585"/>
      <c r="AJ307" s="584"/>
      <c r="AK307" s="584"/>
      <c r="AL307" s="584"/>
      <c r="AM307" s="584"/>
      <c r="AN307" s="73"/>
      <c r="AO307" s="14"/>
      <c r="AP307" s="30"/>
    </row>
    <row r="308" spans="1:42" hidden="1">
      <c r="A308" s="584"/>
      <c r="B308" s="585"/>
      <c r="C308" s="764"/>
      <c r="D308" s="764"/>
      <c r="E308" s="581"/>
      <c r="F308" s="2004"/>
      <c r="G308" s="2005"/>
      <c r="H308" s="2005"/>
      <c r="I308" s="2005"/>
      <c r="J308" s="2005"/>
      <c r="K308" s="2005"/>
      <c r="L308" s="2005"/>
      <c r="M308" s="2005"/>
      <c r="N308" s="2005"/>
      <c r="O308" s="2005"/>
      <c r="P308" s="2005"/>
      <c r="Q308" s="2005"/>
      <c r="R308" s="2005"/>
      <c r="S308" s="2005"/>
      <c r="T308" s="2005"/>
      <c r="U308" s="2005"/>
      <c r="V308" s="2005"/>
      <c r="W308" s="2005"/>
      <c r="X308" s="2005"/>
      <c r="Y308" s="2005"/>
      <c r="Z308" s="2005"/>
      <c r="AA308" s="2005"/>
      <c r="AB308" s="2005"/>
      <c r="AC308" s="2005"/>
      <c r="AD308" s="2006"/>
      <c r="AE308" s="585"/>
      <c r="AF308" s="585"/>
      <c r="AG308" s="573"/>
      <c r="AH308" s="585"/>
      <c r="AI308" s="585"/>
      <c r="AJ308" s="584"/>
      <c r="AK308" s="584"/>
      <c r="AL308" s="584"/>
      <c r="AM308" s="584"/>
      <c r="AN308" s="73"/>
      <c r="AO308" s="14"/>
      <c r="AP308" s="30"/>
    </row>
    <row r="309" spans="1:42" hidden="1">
      <c r="A309" s="584"/>
      <c r="B309" s="585"/>
      <c r="C309" s="764"/>
      <c r="D309" s="764"/>
      <c r="E309" s="581"/>
      <c r="F309" s="2007"/>
      <c r="G309" s="2008"/>
      <c r="H309" s="2008"/>
      <c r="I309" s="2008"/>
      <c r="J309" s="2008"/>
      <c r="K309" s="2008"/>
      <c r="L309" s="2008"/>
      <c r="M309" s="2008"/>
      <c r="N309" s="2008"/>
      <c r="O309" s="2008"/>
      <c r="P309" s="2008"/>
      <c r="Q309" s="2008"/>
      <c r="R309" s="2008"/>
      <c r="S309" s="2008"/>
      <c r="T309" s="2008"/>
      <c r="U309" s="2008"/>
      <c r="V309" s="2008"/>
      <c r="W309" s="2008"/>
      <c r="X309" s="2008"/>
      <c r="Y309" s="2008"/>
      <c r="Z309" s="2008"/>
      <c r="AA309" s="2008"/>
      <c r="AB309" s="2008"/>
      <c r="AC309" s="2008"/>
      <c r="AD309" s="200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10" t="s">
        <v>1291</v>
      </c>
      <c r="J313" s="2010"/>
      <c r="K313" s="2010"/>
      <c r="L313" s="2010"/>
      <c r="M313" s="2010"/>
      <c r="N313" s="2010"/>
      <c r="O313" s="2010"/>
      <c r="P313" s="2010"/>
      <c r="Q313" s="2010"/>
      <c r="R313" s="2010"/>
      <c r="S313" s="2010"/>
      <c r="T313" s="2010"/>
      <c r="U313" s="2010"/>
      <c r="V313" s="2010"/>
      <c r="W313" s="2010"/>
      <c r="X313" s="2010"/>
      <c r="Y313" s="2010"/>
      <c r="Z313" s="2010"/>
      <c r="AA313" s="2010"/>
      <c r="AB313" s="2010"/>
      <c r="AC313" s="2010"/>
      <c r="AD313" s="2011"/>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10"/>
      <c r="J314" s="2010"/>
      <c r="K314" s="2010"/>
      <c r="L314" s="2010"/>
      <c r="M314" s="2010"/>
      <c r="N314" s="2010"/>
      <c r="O314" s="2010"/>
      <c r="P314" s="2010"/>
      <c r="Q314" s="2010"/>
      <c r="R314" s="2010"/>
      <c r="S314" s="2010"/>
      <c r="T314" s="2010"/>
      <c r="U314" s="2010"/>
      <c r="V314" s="2010"/>
      <c r="W314" s="2010"/>
      <c r="X314" s="2010"/>
      <c r="Y314" s="2010"/>
      <c r="Z314" s="2010"/>
      <c r="AA314" s="2010"/>
      <c r="AB314" s="2010"/>
      <c r="AC314" s="2010"/>
      <c r="AD314" s="2011"/>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10"/>
      <c r="J315" s="2010"/>
      <c r="K315" s="2010"/>
      <c r="L315" s="2010"/>
      <c r="M315" s="2010"/>
      <c r="N315" s="2010"/>
      <c r="O315" s="2010"/>
      <c r="P315" s="2010"/>
      <c r="Q315" s="2010"/>
      <c r="R315" s="2010"/>
      <c r="S315" s="2010"/>
      <c r="T315" s="2010"/>
      <c r="U315" s="2010"/>
      <c r="V315" s="2010"/>
      <c r="W315" s="2010"/>
      <c r="X315" s="2010"/>
      <c r="Y315" s="2010"/>
      <c r="Z315" s="2010"/>
      <c r="AA315" s="2010"/>
      <c r="AB315" s="2010"/>
      <c r="AC315" s="2010"/>
      <c r="AD315" s="2011"/>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12"/>
      <c r="J316" s="2012"/>
      <c r="K316" s="2012"/>
      <c r="L316" s="2012"/>
      <c r="M316" s="2012"/>
      <c r="N316" s="2012"/>
      <c r="O316" s="2012"/>
      <c r="P316" s="2012"/>
      <c r="Q316" s="2012"/>
      <c r="R316" s="2012"/>
      <c r="S316" s="2012"/>
      <c r="T316" s="2012"/>
      <c r="U316" s="2012"/>
      <c r="V316" s="2012"/>
      <c r="W316" s="2012"/>
      <c r="X316" s="2012"/>
      <c r="Y316" s="2012"/>
      <c r="Z316" s="2012"/>
      <c r="AA316" s="2012"/>
      <c r="AB316" s="2012"/>
      <c r="AC316" s="2012"/>
      <c r="AD316" s="2013"/>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10" t="s">
        <v>1291</v>
      </c>
      <c r="J318" s="2010"/>
      <c r="K318" s="2010"/>
      <c r="L318" s="2010"/>
      <c r="M318" s="2010"/>
      <c r="N318" s="2010"/>
      <c r="O318" s="2010"/>
      <c r="P318" s="2010"/>
      <c r="Q318" s="2010"/>
      <c r="R318" s="2010"/>
      <c r="S318" s="2010"/>
      <c r="T318" s="2010"/>
      <c r="U318" s="2010"/>
      <c r="V318" s="2010"/>
      <c r="W318" s="2010"/>
      <c r="X318" s="2010"/>
      <c r="Y318" s="2010"/>
      <c r="Z318" s="2010"/>
      <c r="AA318" s="2010"/>
      <c r="AB318" s="2010"/>
      <c r="AC318" s="2010"/>
      <c r="AD318" s="201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0"/>
      <c r="J319" s="2010"/>
      <c r="K319" s="2010"/>
      <c r="L319" s="2010"/>
      <c r="M319" s="2010"/>
      <c r="N319" s="2010"/>
      <c r="O319" s="2010"/>
      <c r="P319" s="2010"/>
      <c r="Q319" s="2010"/>
      <c r="R319" s="2010"/>
      <c r="S319" s="2010"/>
      <c r="T319" s="2010"/>
      <c r="U319" s="2010"/>
      <c r="V319" s="2010"/>
      <c r="W319" s="2010"/>
      <c r="X319" s="2010"/>
      <c r="Y319" s="2010"/>
      <c r="Z319" s="2010"/>
      <c r="AA319" s="2010"/>
      <c r="AB319" s="2010"/>
      <c r="AC319" s="2010"/>
      <c r="AD319" s="201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12"/>
      <c r="J320" s="2012"/>
      <c r="K320" s="2012"/>
      <c r="L320" s="2012"/>
      <c r="M320" s="2012"/>
      <c r="N320" s="2012"/>
      <c r="O320" s="2012"/>
      <c r="P320" s="2012"/>
      <c r="Q320" s="2012"/>
      <c r="R320" s="2012"/>
      <c r="S320" s="2012"/>
      <c r="T320" s="2012"/>
      <c r="U320" s="2012"/>
      <c r="V320" s="2012"/>
      <c r="W320" s="2012"/>
      <c r="X320" s="2012"/>
      <c r="Y320" s="2012"/>
      <c r="Z320" s="2012"/>
      <c r="AA320" s="2012"/>
      <c r="AB320" s="2012"/>
      <c r="AC320" s="2012"/>
      <c r="AD320" s="2013"/>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6" t="s">
        <v>1504</v>
      </c>
      <c r="B322" s="1666"/>
      <c r="C322" s="1972" t="s">
        <v>600</v>
      </c>
      <c r="D322" s="1972"/>
      <c r="E322" s="581"/>
      <c r="F322" s="1901" t="s">
        <v>2338</v>
      </c>
      <c r="G322" s="1902"/>
      <c r="H322" s="1902"/>
      <c r="I322" s="1902"/>
      <c r="J322" s="1902"/>
      <c r="K322" s="1902"/>
      <c r="L322" s="1902"/>
      <c r="M322" s="1902"/>
      <c r="N322" s="1902"/>
      <c r="O322" s="1902"/>
      <c r="P322" s="1902"/>
      <c r="Q322" s="1902"/>
      <c r="R322" s="1902"/>
      <c r="S322" s="1902"/>
      <c r="T322" s="1902"/>
      <c r="U322" s="1902"/>
      <c r="V322" s="1902"/>
      <c r="W322" s="1902"/>
      <c r="X322" s="1902"/>
      <c r="Y322" s="1902"/>
      <c r="Z322" s="1902"/>
      <c r="AA322" s="1902"/>
      <c r="AB322" s="1902"/>
      <c r="AC322" s="1902"/>
      <c r="AD322" s="1903"/>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7"/>
      <c r="G323" s="1908"/>
      <c r="H323" s="1908"/>
      <c r="I323" s="1908"/>
      <c r="J323" s="1908"/>
      <c r="K323" s="1908"/>
      <c r="L323" s="1908"/>
      <c r="M323" s="1908"/>
      <c r="N323" s="1908"/>
      <c r="O323" s="1908"/>
      <c r="P323" s="1908"/>
      <c r="Q323" s="1908"/>
      <c r="R323" s="1908"/>
      <c r="S323" s="1908"/>
      <c r="T323" s="1908"/>
      <c r="U323" s="1908"/>
      <c r="V323" s="1908"/>
      <c r="W323" s="1908"/>
      <c r="X323" s="1908"/>
      <c r="Y323" s="1908"/>
      <c r="Z323" s="1908"/>
      <c r="AA323" s="1908"/>
      <c r="AB323" s="1908"/>
      <c r="AC323" s="1908"/>
      <c r="AD323" s="1909"/>
      <c r="AE323" s="585"/>
      <c r="AF323" s="585"/>
      <c r="AG323" s="585"/>
      <c r="AH323" s="585"/>
      <c r="AI323" s="585"/>
      <c r="AJ323" s="584"/>
      <c r="AK323" s="584"/>
      <c r="AL323" s="584"/>
      <c r="AM323" s="584"/>
      <c r="AN323" s="73"/>
      <c r="AO323" s="14"/>
    </row>
    <row r="324" spans="1:44" ht="15" hidden="1" customHeight="1">
      <c r="A324" s="584"/>
      <c r="B324" s="585"/>
      <c r="C324" s="585"/>
      <c r="D324" s="585"/>
      <c r="E324" s="585"/>
      <c r="F324" s="1907"/>
      <c r="G324" s="1908"/>
      <c r="H324" s="1908"/>
      <c r="I324" s="1908"/>
      <c r="J324" s="1908"/>
      <c r="K324" s="1908"/>
      <c r="L324" s="1908"/>
      <c r="M324" s="1908"/>
      <c r="N324" s="1908"/>
      <c r="O324" s="1908"/>
      <c r="P324" s="1908"/>
      <c r="Q324" s="1908"/>
      <c r="R324" s="1908"/>
      <c r="S324" s="1908"/>
      <c r="T324" s="1908"/>
      <c r="U324" s="1908"/>
      <c r="V324" s="1908"/>
      <c r="W324" s="1908"/>
      <c r="X324" s="1908"/>
      <c r="Y324" s="1908"/>
      <c r="Z324" s="1908"/>
      <c r="AA324" s="1908"/>
      <c r="AB324" s="1908"/>
      <c r="AC324" s="1908"/>
      <c r="AD324" s="1909"/>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5">
        <f>IF(NOT(OR(Application!M355="Yes",Application!M356="Yes")),0,AP284)</f>
        <v>10</v>
      </c>
      <c r="AL327" s="1976"/>
      <c r="AM327" s="197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10" t="s">
        <v>1426</v>
      </c>
      <c r="AF330" s="1910"/>
      <c r="AG330" s="1910"/>
      <c r="AH330" s="1910"/>
      <c r="AI330" s="1910"/>
      <c r="AJ330" s="1910"/>
      <c r="AK330" s="191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4" t="s">
        <v>1566</v>
      </c>
      <c r="D332" s="2014"/>
      <c r="E332" s="2014"/>
      <c r="F332" s="2014"/>
      <c r="G332" s="2014"/>
      <c r="H332" s="2014"/>
      <c r="I332" s="2014"/>
      <c r="J332" s="2014"/>
      <c r="K332" s="2014"/>
      <c r="L332" s="2014"/>
      <c r="M332" s="2014"/>
      <c r="N332" s="2014"/>
      <c r="O332" s="2014"/>
      <c r="P332" s="2014"/>
      <c r="Q332" s="2014"/>
      <c r="R332" s="2014"/>
      <c r="S332" s="2014"/>
      <c r="T332" s="2014"/>
      <c r="U332" s="2014"/>
      <c r="V332" s="2014"/>
      <c r="W332" s="2014"/>
      <c r="X332" s="2014"/>
      <c r="Y332" s="2014"/>
      <c r="Z332" s="2014"/>
      <c r="AA332" s="2014"/>
      <c r="AB332" s="2014"/>
      <c r="AC332" s="2014"/>
      <c r="AD332" s="2014"/>
      <c r="AE332" s="2014"/>
      <c r="AF332" s="2014"/>
      <c r="AG332" s="2014"/>
      <c r="AH332" s="2014"/>
      <c r="AI332" s="2014"/>
      <c r="AJ332" s="2014"/>
      <c r="AK332" s="637"/>
      <c r="AL332" s="637"/>
      <c r="AM332" s="637"/>
      <c r="AN332" s="631"/>
    </row>
    <row r="333" spans="1:44" s="584" customFormat="1" ht="12.75" customHeight="1">
      <c r="A333" s="637"/>
      <c r="B333" s="645"/>
      <c r="C333" s="2014"/>
      <c r="D333" s="2014"/>
      <c r="E333" s="2014"/>
      <c r="F333" s="2014"/>
      <c r="G333" s="2014"/>
      <c r="H333" s="2014"/>
      <c r="I333" s="2014"/>
      <c r="J333" s="2014"/>
      <c r="K333" s="2014"/>
      <c r="L333" s="2014"/>
      <c r="M333" s="2014"/>
      <c r="N333" s="2014"/>
      <c r="O333" s="2014"/>
      <c r="P333" s="2014"/>
      <c r="Q333" s="2014"/>
      <c r="R333" s="2014"/>
      <c r="S333" s="2014"/>
      <c r="T333" s="2014"/>
      <c r="U333" s="2014"/>
      <c r="V333" s="2014"/>
      <c r="W333" s="2014"/>
      <c r="X333" s="2014"/>
      <c r="Y333" s="2014"/>
      <c r="Z333" s="2014"/>
      <c r="AA333" s="2014"/>
      <c r="AB333" s="2014"/>
      <c r="AC333" s="2014"/>
      <c r="AD333" s="2014"/>
      <c r="AE333" s="2014"/>
      <c r="AF333" s="2014"/>
      <c r="AG333" s="2014"/>
      <c r="AH333" s="2014"/>
      <c r="AI333" s="2014"/>
      <c r="AJ333" s="2014"/>
      <c r="AK333" s="637"/>
      <c r="AL333" s="637"/>
      <c r="AM333" s="637"/>
      <c r="AN333" s="631"/>
    </row>
    <row r="334" spans="1:44" s="584" customFormat="1" ht="12.75" customHeight="1">
      <c r="A334" s="637"/>
      <c r="B334" s="645"/>
      <c r="C334" s="2014"/>
      <c r="D334" s="2014"/>
      <c r="E334" s="2014"/>
      <c r="F334" s="2014"/>
      <c r="G334" s="2014"/>
      <c r="H334" s="2014"/>
      <c r="I334" s="2014"/>
      <c r="J334" s="2014"/>
      <c r="K334" s="2014"/>
      <c r="L334" s="2014"/>
      <c r="M334" s="2014"/>
      <c r="N334" s="2014"/>
      <c r="O334" s="2014"/>
      <c r="P334" s="2014"/>
      <c r="Q334" s="2014"/>
      <c r="R334" s="2014"/>
      <c r="S334" s="2014"/>
      <c r="T334" s="2014"/>
      <c r="U334" s="2014"/>
      <c r="V334" s="2014"/>
      <c r="W334" s="2014"/>
      <c r="X334" s="2014"/>
      <c r="Y334" s="2014"/>
      <c r="Z334" s="2014"/>
      <c r="AA334" s="2014"/>
      <c r="AB334" s="2014"/>
      <c r="AC334" s="2014"/>
      <c r="AD334" s="2014"/>
      <c r="AE334" s="2014"/>
      <c r="AF334" s="2014"/>
      <c r="AG334" s="2014"/>
      <c r="AH334" s="2014"/>
      <c r="AI334" s="2014"/>
      <c r="AJ334" s="2014"/>
      <c r="AK334" s="637"/>
      <c r="AL334" s="637"/>
      <c r="AM334" s="637"/>
      <c r="AN334" s="631"/>
      <c r="AQ334" s="604"/>
    </row>
    <row r="335" spans="1:44" s="584" customFormat="1" ht="12.75" customHeight="1">
      <c r="A335" s="637"/>
      <c r="B335" s="645"/>
      <c r="C335" s="2014"/>
      <c r="D335" s="2014"/>
      <c r="E335" s="2014"/>
      <c r="F335" s="2014"/>
      <c r="G335" s="2014"/>
      <c r="H335" s="2014"/>
      <c r="I335" s="2014"/>
      <c r="J335" s="2014"/>
      <c r="K335" s="2014"/>
      <c r="L335" s="2014"/>
      <c r="M335" s="2014"/>
      <c r="N335" s="2014"/>
      <c r="O335" s="2014"/>
      <c r="P335" s="2014"/>
      <c r="Q335" s="2014"/>
      <c r="R335" s="2014"/>
      <c r="S335" s="2014"/>
      <c r="T335" s="2014"/>
      <c r="U335" s="2014"/>
      <c r="V335" s="2014"/>
      <c r="W335" s="2014"/>
      <c r="X335" s="2014"/>
      <c r="Y335" s="2014"/>
      <c r="Z335" s="2014"/>
      <c r="AA335" s="2014"/>
      <c r="AB335" s="2014"/>
      <c r="AC335" s="2014"/>
      <c r="AD335" s="2014"/>
      <c r="AE335" s="2014"/>
      <c r="AF335" s="2014"/>
      <c r="AG335" s="2014"/>
      <c r="AH335" s="2014"/>
      <c r="AI335" s="2014"/>
      <c r="AJ335" s="2014"/>
      <c r="AK335" s="637"/>
      <c r="AL335" s="637"/>
      <c r="AM335" s="637"/>
      <c r="AN335" s="631"/>
      <c r="AQ335" s="604"/>
    </row>
    <row r="336" spans="1:44" s="584" customFormat="1" ht="12.4" customHeight="1">
      <c r="A336" s="637"/>
      <c r="B336" s="645"/>
      <c r="C336" s="2014"/>
      <c r="D336" s="2014"/>
      <c r="E336" s="2014"/>
      <c r="F336" s="2014"/>
      <c r="G336" s="2014"/>
      <c r="H336" s="2014"/>
      <c r="I336" s="2014"/>
      <c r="J336" s="2014"/>
      <c r="K336" s="2014"/>
      <c r="L336" s="2014"/>
      <c r="M336" s="2014"/>
      <c r="N336" s="2014"/>
      <c r="O336" s="2014"/>
      <c r="P336" s="2014"/>
      <c r="Q336" s="2014"/>
      <c r="R336" s="2014"/>
      <c r="S336" s="2014"/>
      <c r="T336" s="2014"/>
      <c r="U336" s="2014"/>
      <c r="V336" s="2014"/>
      <c r="W336" s="2014"/>
      <c r="X336" s="2014"/>
      <c r="Y336" s="2014"/>
      <c r="Z336" s="2014"/>
      <c r="AA336" s="2014"/>
      <c r="AB336" s="2014"/>
      <c r="AC336" s="2014"/>
      <c r="AD336" s="2014"/>
      <c r="AE336" s="2014"/>
      <c r="AF336" s="2014"/>
      <c r="AG336" s="2014"/>
      <c r="AH336" s="2014"/>
      <c r="AI336" s="2014"/>
      <c r="AJ336" s="2014"/>
      <c r="AK336" s="637"/>
      <c r="AL336" s="637"/>
      <c r="AM336" s="637"/>
      <c r="AN336" s="631"/>
      <c r="AQ336" s="604"/>
      <c r="AR336" s="604"/>
    </row>
    <row r="337" spans="1:46" s="584" customFormat="1" ht="45.75" customHeight="1">
      <c r="A337" s="637"/>
      <c r="B337" s="645"/>
      <c r="C337" s="2014" t="s">
        <v>2405</v>
      </c>
      <c r="D337" s="2014"/>
      <c r="E337" s="2014"/>
      <c r="F337" s="2014"/>
      <c r="G337" s="2014"/>
      <c r="H337" s="2014"/>
      <c r="I337" s="2014"/>
      <c r="J337" s="2014"/>
      <c r="K337" s="2014"/>
      <c r="L337" s="2014"/>
      <c r="M337" s="2014"/>
      <c r="N337" s="2014"/>
      <c r="O337" s="2014"/>
      <c r="P337" s="2014"/>
      <c r="Q337" s="2014"/>
      <c r="R337" s="2014"/>
      <c r="S337" s="2014"/>
      <c r="T337" s="2014"/>
      <c r="U337" s="2014"/>
      <c r="V337" s="2014"/>
      <c r="W337" s="2014"/>
      <c r="X337" s="2014"/>
      <c r="Y337" s="2014"/>
      <c r="Z337" s="2014"/>
      <c r="AA337" s="2014"/>
      <c r="AB337" s="2014"/>
      <c r="AC337" s="2014"/>
      <c r="AD337" s="2014"/>
      <c r="AE337" s="2014"/>
      <c r="AF337" s="2014"/>
      <c r="AG337" s="2014"/>
      <c r="AH337" s="2014"/>
      <c r="AI337" s="2014"/>
      <c r="AJ337" s="201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4" t="s">
        <v>2568</v>
      </c>
      <c r="D339" s="2014"/>
      <c r="E339" s="2014"/>
      <c r="F339" s="2014"/>
      <c r="G339" s="2014"/>
      <c r="H339" s="2014"/>
      <c r="I339" s="2014"/>
      <c r="J339" s="2014"/>
      <c r="K339" s="2014"/>
      <c r="L339" s="2014"/>
      <c r="M339" s="2014"/>
      <c r="N339" s="2014"/>
      <c r="O339" s="2014"/>
      <c r="P339" s="2014"/>
      <c r="Q339" s="2014"/>
      <c r="R339" s="2014"/>
      <c r="S339" s="2014"/>
      <c r="T339" s="2014"/>
      <c r="U339" s="2014"/>
      <c r="V339" s="2014"/>
      <c r="W339" s="2014"/>
      <c r="X339" s="2014"/>
      <c r="Y339" s="2014"/>
      <c r="Z339" s="2014"/>
      <c r="AA339" s="2014"/>
      <c r="AB339" s="2014"/>
      <c r="AC339" s="2014"/>
      <c r="AD339" s="2014"/>
      <c r="AE339" s="2014"/>
      <c r="AF339" s="2014"/>
      <c r="AG339" s="2014"/>
      <c r="AH339" s="2014"/>
      <c r="AI339" s="2014"/>
      <c r="AJ339" s="2014"/>
      <c r="AK339" s="637"/>
      <c r="AL339" s="637"/>
      <c r="AM339" s="637"/>
      <c r="AN339" s="631"/>
      <c r="AQ339" s="604"/>
      <c r="AR339" s="604"/>
    </row>
    <row r="340" spans="1:46" s="584" customFormat="1" ht="30" customHeight="1">
      <c r="A340" s="637"/>
      <c r="B340" s="645"/>
      <c r="C340" s="2014"/>
      <c r="D340" s="2014"/>
      <c r="E340" s="2014"/>
      <c r="F340" s="2014"/>
      <c r="G340" s="2014"/>
      <c r="H340" s="2014"/>
      <c r="I340" s="2014"/>
      <c r="J340" s="2014"/>
      <c r="K340" s="2014"/>
      <c r="L340" s="2014"/>
      <c r="M340" s="2014"/>
      <c r="N340" s="2014"/>
      <c r="O340" s="2014"/>
      <c r="P340" s="2014"/>
      <c r="Q340" s="2014"/>
      <c r="R340" s="2014"/>
      <c r="S340" s="2014"/>
      <c r="T340" s="2014"/>
      <c r="U340" s="2014"/>
      <c r="V340" s="2014"/>
      <c r="W340" s="2014"/>
      <c r="X340" s="2014"/>
      <c r="Y340" s="2014"/>
      <c r="Z340" s="2014"/>
      <c r="AA340" s="2014"/>
      <c r="AB340" s="2014"/>
      <c r="AC340" s="2014"/>
      <c r="AD340" s="2014"/>
      <c r="AE340" s="2014"/>
      <c r="AF340" s="2014"/>
      <c r="AG340" s="2014"/>
      <c r="AH340" s="2014"/>
      <c r="AI340" s="2014"/>
      <c r="AJ340" s="2014"/>
      <c r="AK340" s="637"/>
      <c r="AL340" s="637"/>
      <c r="AM340" s="637"/>
      <c r="AN340" s="631"/>
      <c r="AR340" s="604"/>
    </row>
    <row r="341" spans="1:46" s="584" customFormat="1" ht="12.75" customHeight="1">
      <c r="A341" s="637"/>
      <c r="B341" s="645"/>
      <c r="C341" s="2014"/>
      <c r="D341" s="2014"/>
      <c r="E341" s="2014"/>
      <c r="F341" s="2014"/>
      <c r="G341" s="2014"/>
      <c r="H341" s="2014"/>
      <c r="I341" s="2014"/>
      <c r="J341" s="2014"/>
      <c r="K341" s="2014"/>
      <c r="L341" s="2014"/>
      <c r="M341" s="2014"/>
      <c r="N341" s="2014"/>
      <c r="O341" s="2014"/>
      <c r="P341" s="2014"/>
      <c r="Q341" s="2014"/>
      <c r="R341" s="2014"/>
      <c r="S341" s="2014"/>
      <c r="T341" s="2014"/>
      <c r="U341" s="2014"/>
      <c r="V341" s="2014"/>
      <c r="W341" s="2014"/>
      <c r="X341" s="2014"/>
      <c r="Y341" s="2014"/>
      <c r="Z341" s="2014"/>
      <c r="AA341" s="2014"/>
      <c r="AB341" s="2014"/>
      <c r="AC341" s="2014"/>
      <c r="AD341" s="2014"/>
      <c r="AE341" s="2014"/>
      <c r="AF341" s="2014"/>
      <c r="AG341" s="2014"/>
      <c r="AH341" s="2014"/>
      <c r="AI341" s="2014"/>
      <c r="AJ341" s="2014"/>
      <c r="AK341" s="637"/>
      <c r="AL341" s="637"/>
      <c r="AM341" s="637"/>
      <c r="AN341" s="631"/>
      <c r="AR341" s="604"/>
    </row>
    <row r="342" spans="1:46" s="584" customFormat="1" ht="12.75" customHeight="1">
      <c r="A342" s="637"/>
      <c r="B342" s="645"/>
      <c r="C342" s="2014" t="s">
        <v>1567</v>
      </c>
      <c r="D342" s="2014"/>
      <c r="E342" s="2014"/>
      <c r="F342" s="2014"/>
      <c r="G342" s="2014"/>
      <c r="H342" s="2014"/>
      <c r="I342" s="2014"/>
      <c r="J342" s="2014"/>
      <c r="K342" s="2014"/>
      <c r="L342" s="2014"/>
      <c r="M342" s="2014"/>
      <c r="N342" s="2014"/>
      <c r="O342" s="2014"/>
      <c r="P342" s="2014"/>
      <c r="Q342" s="2014"/>
      <c r="R342" s="2014"/>
      <c r="S342" s="2014"/>
      <c r="T342" s="2014"/>
      <c r="U342" s="2014"/>
      <c r="V342" s="2014"/>
      <c r="W342" s="2014"/>
      <c r="X342" s="2014"/>
      <c r="Y342" s="2014"/>
      <c r="Z342" s="2014"/>
      <c r="AA342" s="2014"/>
      <c r="AB342" s="2014"/>
      <c r="AC342" s="2014"/>
      <c r="AD342" s="2014"/>
      <c r="AE342" s="2014"/>
      <c r="AF342" s="2014"/>
      <c r="AG342" s="2014"/>
      <c r="AH342" s="2014"/>
      <c r="AI342" s="2014"/>
      <c r="AJ342" s="2014"/>
      <c r="AK342" s="637"/>
      <c r="AL342" s="637"/>
      <c r="AM342" s="637"/>
      <c r="AN342" s="631"/>
      <c r="AQ342" s="604"/>
      <c r="AR342" s="604"/>
    </row>
    <row r="343" spans="1:46" s="584" customFormat="1" ht="12.75" customHeight="1">
      <c r="A343" s="637"/>
      <c r="B343" s="645"/>
      <c r="C343" s="2014"/>
      <c r="D343" s="2014"/>
      <c r="E343" s="2014"/>
      <c r="F343" s="2014"/>
      <c r="G343" s="2014"/>
      <c r="H343" s="2014"/>
      <c r="I343" s="2014"/>
      <c r="J343" s="2014"/>
      <c r="K343" s="2014"/>
      <c r="L343" s="2014"/>
      <c r="M343" s="2014"/>
      <c r="N343" s="2014"/>
      <c r="O343" s="2014"/>
      <c r="P343" s="2014"/>
      <c r="Q343" s="2014"/>
      <c r="R343" s="2014"/>
      <c r="S343" s="2014"/>
      <c r="T343" s="2014"/>
      <c r="U343" s="2014"/>
      <c r="V343" s="2014"/>
      <c r="W343" s="2014"/>
      <c r="X343" s="2014"/>
      <c r="Y343" s="2014"/>
      <c r="Z343" s="2014"/>
      <c r="AA343" s="2014"/>
      <c r="AB343" s="2014"/>
      <c r="AC343" s="2014"/>
      <c r="AD343" s="2014"/>
      <c r="AE343" s="2014"/>
      <c r="AF343" s="2014"/>
      <c r="AG343" s="2014"/>
      <c r="AH343" s="2014"/>
      <c r="AI343" s="2014"/>
      <c r="AJ343" s="2014"/>
      <c r="AK343" s="637"/>
      <c r="AL343" s="637"/>
      <c r="AM343" s="637"/>
      <c r="AN343" s="631"/>
      <c r="AQ343" s="604"/>
      <c r="AR343" s="604"/>
    </row>
    <row r="344" spans="1:46" s="584" customFormat="1" ht="13.15" customHeight="1">
      <c r="A344" s="637"/>
      <c r="B344" s="645"/>
      <c r="C344" s="2014"/>
      <c r="D344" s="2014"/>
      <c r="E344" s="2014"/>
      <c r="F344" s="2014"/>
      <c r="G344" s="2014"/>
      <c r="H344" s="2014"/>
      <c r="I344" s="2014"/>
      <c r="J344" s="2014"/>
      <c r="K344" s="2014"/>
      <c r="L344" s="2014"/>
      <c r="M344" s="2014"/>
      <c r="N344" s="2014"/>
      <c r="O344" s="2014"/>
      <c r="P344" s="2014"/>
      <c r="Q344" s="2014"/>
      <c r="R344" s="2014"/>
      <c r="S344" s="2014"/>
      <c r="T344" s="2014"/>
      <c r="U344" s="2014"/>
      <c r="V344" s="2014"/>
      <c r="W344" s="2014"/>
      <c r="X344" s="2014"/>
      <c r="Y344" s="2014"/>
      <c r="Z344" s="2014"/>
      <c r="AA344" s="2014"/>
      <c r="AB344" s="2014"/>
      <c r="AC344" s="2014"/>
      <c r="AD344" s="2014"/>
      <c r="AE344" s="2014"/>
      <c r="AF344" s="2014"/>
      <c r="AG344" s="2014"/>
      <c r="AH344" s="2014"/>
      <c r="AI344" s="2014"/>
      <c r="AJ344" s="2014"/>
      <c r="AK344" s="637"/>
      <c r="AL344" s="637"/>
      <c r="AM344" s="637"/>
      <c r="AN344" s="631"/>
      <c r="AQ344" s="604"/>
      <c r="AR344" s="604"/>
    </row>
    <row r="345" spans="1:46" s="584" customFormat="1" ht="12.75" customHeight="1">
      <c r="A345" s="637"/>
      <c r="B345" s="645"/>
      <c r="C345" s="2014"/>
      <c r="D345" s="2014"/>
      <c r="E345" s="2014"/>
      <c r="F345" s="2014"/>
      <c r="G345" s="2014"/>
      <c r="H345" s="2014"/>
      <c r="I345" s="2014"/>
      <c r="J345" s="2014"/>
      <c r="K345" s="2014"/>
      <c r="L345" s="2014"/>
      <c r="M345" s="2014"/>
      <c r="N345" s="2014"/>
      <c r="O345" s="2014"/>
      <c r="P345" s="2014"/>
      <c r="Q345" s="2014"/>
      <c r="R345" s="2014"/>
      <c r="S345" s="2014"/>
      <c r="T345" s="2014"/>
      <c r="U345" s="2014"/>
      <c r="V345" s="2014"/>
      <c r="W345" s="2014"/>
      <c r="X345" s="2014"/>
      <c r="Y345" s="2014"/>
      <c r="Z345" s="2014"/>
      <c r="AA345" s="2014"/>
      <c r="AB345" s="2014"/>
      <c r="AC345" s="2014"/>
      <c r="AD345" s="2014"/>
      <c r="AE345" s="2014"/>
      <c r="AF345" s="2014"/>
      <c r="AG345" s="2014"/>
      <c r="AH345" s="2014"/>
      <c r="AI345" s="2014"/>
      <c r="AJ345" s="2014"/>
      <c r="AK345" s="637"/>
      <c r="AL345" s="637"/>
      <c r="AM345" s="637"/>
      <c r="AN345" s="631"/>
      <c r="AO345" s="728"/>
      <c r="AP345" s="728"/>
      <c r="AQ345" s="604"/>
    </row>
    <row r="346" spans="1:46" s="584" customFormat="1" ht="11.85" customHeight="1">
      <c r="A346" s="637"/>
      <c r="B346" s="645"/>
      <c r="C346" s="2014"/>
      <c r="D346" s="2014"/>
      <c r="E346" s="2014"/>
      <c r="F346" s="2014"/>
      <c r="G346" s="2014"/>
      <c r="H346" s="2014"/>
      <c r="I346" s="2014"/>
      <c r="J346" s="2014"/>
      <c r="K346" s="2014"/>
      <c r="L346" s="2014"/>
      <c r="M346" s="2014"/>
      <c r="N346" s="2014"/>
      <c r="O346" s="2014"/>
      <c r="P346" s="2014"/>
      <c r="Q346" s="2014"/>
      <c r="R346" s="2014"/>
      <c r="S346" s="2014"/>
      <c r="T346" s="2014"/>
      <c r="U346" s="2014"/>
      <c r="V346" s="2014"/>
      <c r="W346" s="2014"/>
      <c r="X346" s="2014"/>
      <c r="Y346" s="2014"/>
      <c r="Z346" s="2014"/>
      <c r="AA346" s="2014"/>
      <c r="AB346" s="2014"/>
      <c r="AC346" s="2014"/>
      <c r="AD346" s="2014"/>
      <c r="AE346" s="2014"/>
      <c r="AF346" s="2014"/>
      <c r="AG346" s="2014"/>
      <c r="AH346" s="2014"/>
      <c r="AI346" s="2014"/>
      <c r="AJ346" s="2014"/>
      <c r="AK346" s="637"/>
      <c r="AL346" s="637"/>
      <c r="AM346" s="637"/>
      <c r="AN346" s="631"/>
      <c r="AO346" s="729" t="s">
        <v>112</v>
      </c>
      <c r="AP346" s="730">
        <f>IF(C370="Yes",5,0)</f>
        <v>0</v>
      </c>
      <c r="AS346" s="573" t="s">
        <v>1568</v>
      </c>
    </row>
    <row r="347" spans="1:46" s="584" customFormat="1" ht="12.75" customHeight="1">
      <c r="A347" s="637"/>
      <c r="B347" s="645"/>
      <c r="C347" s="2014"/>
      <c r="D347" s="2014"/>
      <c r="E347" s="2014"/>
      <c r="F347" s="2014"/>
      <c r="G347" s="2014"/>
      <c r="H347" s="2014"/>
      <c r="I347" s="2014"/>
      <c r="J347" s="2014"/>
      <c r="K347" s="2014"/>
      <c r="L347" s="2014"/>
      <c r="M347" s="2014"/>
      <c r="N347" s="2014"/>
      <c r="O347" s="2014"/>
      <c r="P347" s="2014"/>
      <c r="Q347" s="2014"/>
      <c r="R347" s="2014"/>
      <c r="S347" s="2014"/>
      <c r="T347" s="2014"/>
      <c r="U347" s="2014"/>
      <c r="V347" s="2014"/>
      <c r="W347" s="2014"/>
      <c r="X347" s="2014"/>
      <c r="Y347" s="2014"/>
      <c r="Z347" s="2014"/>
      <c r="AA347" s="2014"/>
      <c r="AB347" s="2014"/>
      <c r="AC347" s="2014"/>
      <c r="AD347" s="2014"/>
      <c r="AE347" s="2014"/>
      <c r="AF347" s="2014"/>
      <c r="AG347" s="2014"/>
      <c r="AH347" s="2014"/>
      <c r="AI347" s="2014"/>
      <c r="AJ347" s="2014"/>
      <c r="AK347" s="637"/>
      <c r="AL347" s="637"/>
      <c r="AM347" s="637"/>
      <c r="AN347" s="631"/>
      <c r="AO347" s="729" t="s">
        <v>113</v>
      </c>
      <c r="AP347" s="730">
        <f>IF(C378="Yes",5,0)</f>
        <v>0</v>
      </c>
      <c r="AS347" s="2035">
        <f>IF(Application!D211="Non-Targeted",(SUM(AQ355+AQ364)),AS351)</f>
        <v>10</v>
      </c>
      <c r="AT347" s="2035"/>
    </row>
    <row r="348" spans="1:46" s="584" customFormat="1" ht="12.75" customHeight="1">
      <c r="A348" s="637"/>
      <c r="B348" s="645"/>
      <c r="C348" s="2014"/>
      <c r="D348" s="2014"/>
      <c r="E348" s="2014"/>
      <c r="F348" s="2014"/>
      <c r="G348" s="2014"/>
      <c r="H348" s="2014"/>
      <c r="I348" s="2014"/>
      <c r="J348" s="2014"/>
      <c r="K348" s="2014"/>
      <c r="L348" s="2014"/>
      <c r="M348" s="2014"/>
      <c r="N348" s="2014"/>
      <c r="O348" s="2014"/>
      <c r="P348" s="2014"/>
      <c r="Q348" s="2014"/>
      <c r="R348" s="2014"/>
      <c r="S348" s="2014"/>
      <c r="T348" s="2014"/>
      <c r="U348" s="2014"/>
      <c r="V348" s="2014"/>
      <c r="W348" s="2014"/>
      <c r="X348" s="2014"/>
      <c r="Y348" s="2014"/>
      <c r="Z348" s="2014"/>
      <c r="AA348" s="2014"/>
      <c r="AB348" s="2014"/>
      <c r="AC348" s="2014"/>
      <c r="AD348" s="2014"/>
      <c r="AE348" s="2014"/>
      <c r="AF348" s="2014"/>
      <c r="AG348" s="2014"/>
      <c r="AH348" s="2014"/>
      <c r="AI348" s="2014"/>
      <c r="AJ348" s="2014"/>
      <c r="AK348" s="637"/>
      <c r="AL348" s="637"/>
      <c r="AM348" s="637"/>
      <c r="AN348" s="631"/>
      <c r="AO348" s="729" t="s">
        <v>119</v>
      </c>
      <c r="AP348" s="730">
        <f>IF(C386="Yes",7,0)</f>
        <v>0</v>
      </c>
      <c r="AS348" s="573" t="s">
        <v>1569</v>
      </c>
    </row>
    <row r="349" spans="1:46" s="584" customFormat="1" ht="12.75" customHeight="1">
      <c r="A349" s="637"/>
      <c r="B349" s="645"/>
      <c r="C349" s="2014"/>
      <c r="D349" s="2014"/>
      <c r="E349" s="2014"/>
      <c r="F349" s="2014"/>
      <c r="G349" s="2014"/>
      <c r="H349" s="2014"/>
      <c r="I349" s="2014"/>
      <c r="J349" s="2014"/>
      <c r="K349" s="2014"/>
      <c r="L349" s="2014"/>
      <c r="M349" s="2014"/>
      <c r="N349" s="2014"/>
      <c r="O349" s="2014"/>
      <c r="P349" s="2014"/>
      <c r="Q349" s="2014"/>
      <c r="R349" s="2014"/>
      <c r="S349" s="2014"/>
      <c r="T349" s="2014"/>
      <c r="U349" s="2014"/>
      <c r="V349" s="2014"/>
      <c r="W349" s="2014"/>
      <c r="X349" s="2014"/>
      <c r="Y349" s="2014"/>
      <c r="Z349" s="2014"/>
      <c r="AA349" s="2014"/>
      <c r="AB349" s="2014"/>
      <c r="AC349" s="2014"/>
      <c r="AD349" s="2014"/>
      <c r="AE349" s="2014"/>
      <c r="AF349" s="2014"/>
      <c r="AG349" s="2014"/>
      <c r="AH349" s="2014"/>
      <c r="AI349" s="2014"/>
      <c r="AJ349" s="2014"/>
      <c r="AK349" s="637"/>
      <c r="AL349" s="637"/>
      <c r="AM349" s="637"/>
      <c r="AN349" s="631"/>
      <c r="AO349" s="631"/>
      <c r="AP349" s="730">
        <f>IF(C388="Yes",5,0)</f>
        <v>5</v>
      </c>
      <c r="AS349" s="2035">
        <f>IF(AND(AQ355&gt;0,AQ364&gt;0),(AQ355+AQ364)/2,0)</f>
        <v>0</v>
      </c>
      <c r="AT349" s="2035"/>
    </row>
    <row r="350" spans="1:46" s="584" customFormat="1" ht="12.75" customHeight="1">
      <c r="A350" s="637"/>
      <c r="B350" s="645"/>
      <c r="C350" s="2014"/>
      <c r="D350" s="2014"/>
      <c r="E350" s="2014"/>
      <c r="F350" s="2014"/>
      <c r="G350" s="2014"/>
      <c r="H350" s="2014"/>
      <c r="I350" s="2014"/>
      <c r="J350" s="2014"/>
      <c r="K350" s="2014"/>
      <c r="L350" s="2014"/>
      <c r="M350" s="2014"/>
      <c r="N350" s="2014"/>
      <c r="O350" s="2014"/>
      <c r="P350" s="2014"/>
      <c r="Q350" s="2014"/>
      <c r="R350" s="2014"/>
      <c r="S350" s="2014"/>
      <c r="T350" s="2014"/>
      <c r="U350" s="2014"/>
      <c r="V350" s="2014"/>
      <c r="W350" s="2014"/>
      <c r="X350" s="2014"/>
      <c r="Y350" s="2014"/>
      <c r="Z350" s="2014"/>
      <c r="AA350" s="2014"/>
      <c r="AB350" s="2014"/>
      <c r="AC350" s="2014"/>
      <c r="AD350" s="2014"/>
      <c r="AE350" s="2014"/>
      <c r="AF350" s="2014"/>
      <c r="AG350" s="2014"/>
      <c r="AH350" s="2014"/>
      <c r="AI350" s="2014"/>
      <c r="AJ350" s="2014"/>
      <c r="AK350" s="637"/>
      <c r="AL350" s="637"/>
      <c r="AM350" s="637"/>
      <c r="AN350" s="631"/>
      <c r="AO350" s="729" t="s">
        <v>590</v>
      </c>
      <c r="AP350" s="730">
        <f>IF(C396="Yes",5,0)</f>
        <v>0</v>
      </c>
      <c r="AS350" s="573" t="s">
        <v>2071</v>
      </c>
    </row>
    <row r="351" spans="1:46" s="584" customFormat="1" ht="12.75" customHeight="1">
      <c r="A351" s="637"/>
      <c r="B351" s="645"/>
      <c r="C351" s="2036" t="s">
        <v>1570</v>
      </c>
      <c r="D351" s="2036"/>
      <c r="E351" s="2036"/>
      <c r="F351" s="2036"/>
      <c r="G351" s="2036"/>
      <c r="H351" s="2036"/>
      <c r="I351" s="2036"/>
      <c r="J351" s="2036"/>
      <c r="K351" s="2036"/>
      <c r="L351" s="2036"/>
      <c r="M351" s="2036"/>
      <c r="N351" s="2036"/>
      <c r="O351" s="2036"/>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637"/>
      <c r="AL351" s="637"/>
      <c r="AM351" s="637"/>
      <c r="AN351" s="631"/>
      <c r="AO351" s="631"/>
      <c r="AP351" s="730">
        <f>IF(C398="Yes",3,0)</f>
        <v>0</v>
      </c>
      <c r="AS351" s="2035">
        <f>IF(AQ355=0,AQ364,AQ355)</f>
        <v>10</v>
      </c>
      <c r="AT351" s="2035"/>
    </row>
    <row r="352" spans="1:46" s="584" customFormat="1" ht="12.75" customHeight="1">
      <c r="A352" s="637"/>
      <c r="B352" s="645"/>
      <c r="C352" s="2036"/>
      <c r="D352" s="2036"/>
      <c r="E352" s="2036"/>
      <c r="F352" s="2036"/>
      <c r="G352" s="2036"/>
      <c r="H352" s="2036"/>
      <c r="I352" s="2036"/>
      <c r="J352" s="2036"/>
      <c r="K352" s="2036"/>
      <c r="L352" s="2036"/>
      <c r="M352" s="2036"/>
      <c r="N352" s="2036"/>
      <c r="O352" s="2036"/>
      <c r="P352" s="2036"/>
      <c r="Q352" s="2036"/>
      <c r="R352" s="2036"/>
      <c r="S352" s="2036"/>
      <c r="T352" s="2036"/>
      <c r="U352" s="2036"/>
      <c r="V352" s="2036"/>
      <c r="W352" s="2036"/>
      <c r="X352" s="2036"/>
      <c r="Y352" s="2036"/>
      <c r="Z352" s="2036"/>
      <c r="AA352" s="2036"/>
      <c r="AB352" s="2036"/>
      <c r="AC352" s="2036"/>
      <c r="AD352" s="2036"/>
      <c r="AE352" s="2036"/>
      <c r="AF352" s="2036"/>
      <c r="AG352" s="2036"/>
      <c r="AH352" s="2036"/>
      <c r="AI352" s="2036"/>
      <c r="AJ352" s="2036"/>
      <c r="AK352" s="637"/>
      <c r="AL352" s="637"/>
      <c r="AM352" s="637"/>
      <c r="AN352" s="631"/>
      <c r="AO352" s="729" t="s">
        <v>773</v>
      </c>
      <c r="AP352" s="730">
        <f>IF(C401="Yes",5,0)</f>
        <v>0</v>
      </c>
    </row>
    <row r="353" spans="1:81" s="584" customFormat="1" ht="12.75" customHeight="1">
      <c r="A353" s="637"/>
      <c r="B353" s="645"/>
      <c r="C353" s="2036"/>
      <c r="D353" s="2036"/>
      <c r="E353" s="2036"/>
      <c r="F353" s="2036"/>
      <c r="G353" s="2036"/>
      <c r="H353" s="2036"/>
      <c r="I353" s="2036"/>
      <c r="J353" s="2036"/>
      <c r="K353" s="2036"/>
      <c r="L353" s="2036"/>
      <c r="M353" s="2036"/>
      <c r="N353" s="2036"/>
      <c r="O353" s="2036"/>
      <c r="P353" s="2036"/>
      <c r="Q353" s="2036"/>
      <c r="R353" s="2036"/>
      <c r="S353" s="2036"/>
      <c r="T353" s="2036"/>
      <c r="U353" s="2036"/>
      <c r="V353" s="2036"/>
      <c r="W353" s="2036"/>
      <c r="X353" s="2036"/>
      <c r="Y353" s="2036"/>
      <c r="Z353" s="2036"/>
      <c r="AA353" s="2036"/>
      <c r="AB353" s="2036"/>
      <c r="AC353" s="2036"/>
      <c r="AD353" s="2036"/>
      <c r="AE353" s="2036"/>
      <c r="AF353" s="2036"/>
      <c r="AG353" s="2036"/>
      <c r="AH353" s="2036"/>
      <c r="AI353" s="2036"/>
      <c r="AJ353" s="2036"/>
      <c r="AK353" s="637"/>
      <c r="AL353" s="637"/>
      <c r="AM353" s="637"/>
      <c r="AN353" s="631"/>
      <c r="AO353" s="729" t="s">
        <v>593</v>
      </c>
      <c r="AP353" s="730">
        <f>IF(C410="Yes",5,0)</f>
        <v>5</v>
      </c>
    </row>
    <row r="354" spans="1:81" s="584" customFormat="1" ht="11.85" customHeight="1">
      <c r="A354" s="637"/>
      <c r="B354" s="645"/>
      <c r="C354" s="2036"/>
      <c r="D354" s="2036"/>
      <c r="E354" s="2036"/>
      <c r="F354" s="2036"/>
      <c r="G354" s="2036"/>
      <c r="H354" s="2036"/>
      <c r="I354" s="2036"/>
      <c r="J354" s="2036"/>
      <c r="K354" s="2036"/>
      <c r="L354" s="2036"/>
      <c r="M354" s="2036"/>
      <c r="N354" s="2036"/>
      <c r="O354" s="2036"/>
      <c r="P354" s="2036"/>
      <c r="Q354" s="2036"/>
      <c r="R354" s="2036"/>
      <c r="S354" s="2036"/>
      <c r="T354" s="2036"/>
      <c r="U354" s="2036"/>
      <c r="V354" s="2036"/>
      <c r="W354" s="2036"/>
      <c r="X354" s="2036"/>
      <c r="Y354" s="2036"/>
      <c r="Z354" s="2036"/>
      <c r="AA354" s="2036"/>
      <c r="AB354" s="2036"/>
      <c r="AC354" s="2036"/>
      <c r="AD354" s="2036"/>
      <c r="AE354" s="2036"/>
      <c r="AF354" s="2036"/>
      <c r="AG354" s="2036"/>
      <c r="AH354" s="2036"/>
      <c r="AI354" s="2036"/>
      <c r="AJ354" s="2036"/>
      <c r="AK354" s="637"/>
      <c r="AL354" s="637"/>
      <c r="AM354" s="637"/>
      <c r="AN354" s="631"/>
      <c r="AO354" s="731"/>
      <c r="AP354" s="732">
        <f>IF(C412="Yes",3,0)</f>
        <v>0</v>
      </c>
    </row>
    <row r="355" spans="1:81" s="584" customFormat="1" ht="12.4" customHeight="1">
      <c r="A355" s="637"/>
      <c r="B355" s="645"/>
      <c r="C355" s="2036"/>
      <c r="D355" s="2036"/>
      <c r="E355" s="2036"/>
      <c r="F355" s="2036"/>
      <c r="G355" s="2036"/>
      <c r="H355" s="2036"/>
      <c r="I355" s="2036"/>
      <c r="J355" s="2036"/>
      <c r="K355" s="2036"/>
      <c r="L355" s="2036"/>
      <c r="M355" s="2036"/>
      <c r="N355" s="2036"/>
      <c r="O355" s="2036"/>
      <c r="P355" s="2036"/>
      <c r="Q355" s="2036"/>
      <c r="R355" s="2036"/>
      <c r="S355" s="2036"/>
      <c r="T355" s="2036"/>
      <c r="U355" s="2036"/>
      <c r="V355" s="2036"/>
      <c r="W355" s="2036"/>
      <c r="X355" s="2036"/>
      <c r="Y355" s="2036"/>
      <c r="Z355" s="2036"/>
      <c r="AA355" s="2036"/>
      <c r="AB355" s="2036"/>
      <c r="AC355" s="2036"/>
      <c r="AD355" s="2036"/>
      <c r="AE355" s="2036"/>
      <c r="AF355" s="2036"/>
      <c r="AG355" s="2036"/>
      <c r="AH355" s="2036"/>
      <c r="AI355" s="2036"/>
      <c r="AJ355" s="2036"/>
      <c r="AK355" s="637"/>
      <c r="AL355" s="637"/>
      <c r="AM355" s="637"/>
      <c r="AN355" s="631"/>
      <c r="AO355" s="733" t="s">
        <v>228</v>
      </c>
      <c r="AP355" s="734">
        <f>SUM(AP346:AP354)</f>
        <v>10</v>
      </c>
      <c r="AQ355" s="2037">
        <f>IF(AP355&gt;0,AP355,0)</f>
        <v>10</v>
      </c>
      <c r="AR355" s="2037"/>
    </row>
    <row r="356" spans="1:81" s="584" customFormat="1" ht="12.75" customHeight="1">
      <c r="A356" s="637"/>
      <c r="B356" s="645"/>
      <c r="C356" s="2036"/>
      <c r="D356" s="2036"/>
      <c r="E356" s="2036"/>
      <c r="F356" s="2036"/>
      <c r="G356" s="2036"/>
      <c r="H356" s="2036"/>
      <c r="I356" s="2036"/>
      <c r="J356" s="2036"/>
      <c r="K356" s="2036"/>
      <c r="L356" s="2036"/>
      <c r="M356" s="2036"/>
      <c r="N356" s="2036"/>
      <c r="O356" s="2036"/>
      <c r="P356" s="2036"/>
      <c r="Q356" s="2036"/>
      <c r="R356" s="2036"/>
      <c r="S356" s="2036"/>
      <c r="T356" s="2036"/>
      <c r="U356" s="2036"/>
      <c r="V356" s="2036"/>
      <c r="W356" s="2036"/>
      <c r="X356" s="2036"/>
      <c r="Y356" s="2036"/>
      <c r="Z356" s="2036"/>
      <c r="AA356" s="2036"/>
      <c r="AB356" s="2036"/>
      <c r="AC356" s="2036"/>
      <c r="AD356" s="2036"/>
      <c r="AE356" s="2036"/>
      <c r="AF356" s="2036"/>
      <c r="AG356" s="2036"/>
      <c r="AH356" s="2036"/>
      <c r="AI356" s="2036"/>
      <c r="AJ356" s="203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4" t="s">
        <v>1571</v>
      </c>
      <c r="D358" s="2014"/>
      <c r="E358" s="2014"/>
      <c r="F358" s="2014"/>
      <c r="G358" s="2014"/>
      <c r="H358" s="2014"/>
      <c r="I358" s="2014"/>
      <c r="J358" s="2014"/>
      <c r="K358" s="2014"/>
      <c r="L358" s="2014"/>
      <c r="M358" s="2014"/>
      <c r="N358" s="2014"/>
      <c r="O358" s="2014"/>
      <c r="P358" s="2014"/>
      <c r="Q358" s="2014"/>
      <c r="R358" s="2014"/>
      <c r="S358" s="2014"/>
      <c r="T358" s="2014"/>
      <c r="U358" s="2014"/>
      <c r="V358" s="2014"/>
      <c r="W358" s="2014"/>
      <c r="X358" s="2014"/>
      <c r="Y358" s="2014"/>
      <c r="Z358" s="2014"/>
      <c r="AA358" s="2014"/>
      <c r="AB358" s="2014"/>
      <c r="AC358" s="2014"/>
      <c r="AD358" s="2014"/>
      <c r="AE358" s="2014"/>
      <c r="AF358" s="2014"/>
      <c r="AG358" s="2014"/>
      <c r="AH358" s="2014"/>
      <c r="AI358" s="2014"/>
      <c r="AJ358" s="2014"/>
      <c r="AK358" s="637"/>
      <c r="AL358" s="637"/>
      <c r="AM358" s="637"/>
      <c r="AN358" s="631"/>
      <c r="AO358" s="729" t="s">
        <v>465</v>
      </c>
      <c r="AP358" s="730">
        <f>IF(C431="Yes",5,0)</f>
        <v>0</v>
      </c>
    </row>
    <row r="359" spans="1:81" s="584" customFormat="1" ht="12.75" customHeight="1">
      <c r="A359" s="637"/>
      <c r="B359" s="645"/>
      <c r="C359" s="2014"/>
      <c r="D359" s="2014"/>
      <c r="E359" s="2014"/>
      <c r="F359" s="2014"/>
      <c r="G359" s="2014"/>
      <c r="H359" s="2014"/>
      <c r="I359" s="2014"/>
      <c r="J359" s="2014"/>
      <c r="K359" s="2014"/>
      <c r="L359" s="2014"/>
      <c r="M359" s="2014"/>
      <c r="N359" s="2014"/>
      <c r="O359" s="2014"/>
      <c r="P359" s="2014"/>
      <c r="Q359" s="2014"/>
      <c r="R359" s="2014"/>
      <c r="S359" s="2014"/>
      <c r="T359" s="2014"/>
      <c r="U359" s="2014"/>
      <c r="V359" s="2014"/>
      <c r="W359" s="2014"/>
      <c r="X359" s="2014"/>
      <c r="Y359" s="2014"/>
      <c r="Z359" s="2014"/>
      <c r="AA359" s="2014"/>
      <c r="AB359" s="2014"/>
      <c r="AC359" s="2014"/>
      <c r="AD359" s="2014"/>
      <c r="AE359" s="2014"/>
      <c r="AF359" s="2014"/>
      <c r="AG359" s="2014"/>
      <c r="AH359" s="2014"/>
      <c r="AI359" s="2014"/>
      <c r="AJ359" s="2014"/>
      <c r="AK359" s="637"/>
      <c r="AL359" s="637"/>
      <c r="AM359" s="637"/>
      <c r="AN359" s="631"/>
      <c r="AO359" s="729" t="s">
        <v>470</v>
      </c>
      <c r="AP359" s="730">
        <f>IF(C438="Yes",5,0)</f>
        <v>0</v>
      </c>
    </row>
    <row r="360" spans="1:81" s="584" customFormat="1" ht="68.099999999999994" customHeight="1">
      <c r="A360" s="637"/>
      <c r="B360" s="645"/>
      <c r="C360" s="2014"/>
      <c r="D360" s="2014"/>
      <c r="E360" s="2014"/>
      <c r="F360" s="2014"/>
      <c r="G360" s="2014"/>
      <c r="H360" s="2014"/>
      <c r="I360" s="2014"/>
      <c r="J360" s="2014"/>
      <c r="K360" s="2014"/>
      <c r="L360" s="2014"/>
      <c r="M360" s="2014"/>
      <c r="N360" s="2014"/>
      <c r="O360" s="2014"/>
      <c r="P360" s="2014"/>
      <c r="Q360" s="2014"/>
      <c r="R360" s="2014"/>
      <c r="S360" s="2014"/>
      <c r="T360" s="2014"/>
      <c r="U360" s="2014"/>
      <c r="V360" s="2014"/>
      <c r="W360" s="2014"/>
      <c r="X360" s="2014"/>
      <c r="Y360" s="2014"/>
      <c r="Z360" s="2014"/>
      <c r="AA360" s="2014"/>
      <c r="AB360" s="2014"/>
      <c r="AC360" s="2014"/>
      <c r="AD360" s="2014"/>
      <c r="AE360" s="2014"/>
      <c r="AF360" s="2014"/>
      <c r="AG360" s="2014"/>
      <c r="AH360" s="2014"/>
      <c r="AI360" s="2014"/>
      <c r="AJ360" s="2014"/>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23">
        <f>Application!CS660-U363</f>
        <v>314</v>
      </c>
      <c r="V362" s="2123"/>
      <c r="W362" s="212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24">
        <f>Application!AG756</f>
        <v>0</v>
      </c>
      <c r="V363" s="2124"/>
      <c r="W363" s="212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7">
        <f>IF(AP364&gt;0,AP364,0)</f>
        <v>0</v>
      </c>
      <c r="AR364" s="2037"/>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8" t="s">
        <v>1573</v>
      </c>
      <c r="G366" s="2018"/>
      <c r="H366" s="2018"/>
      <c r="I366" s="2018"/>
      <c r="J366" s="2018"/>
      <c r="K366" s="2018"/>
      <c r="L366" s="2018"/>
      <c r="M366" s="2018"/>
      <c r="N366" s="2018"/>
      <c r="O366" s="2018"/>
      <c r="P366" s="2018"/>
      <c r="Q366" s="2018"/>
      <c r="R366" s="2018"/>
      <c r="S366" s="2018"/>
      <c r="T366" s="2018"/>
      <c r="U366" s="2018"/>
      <c r="V366" s="2018"/>
      <c r="W366" s="2018"/>
      <c r="X366" s="2018"/>
      <c r="Y366" s="2018"/>
      <c r="Z366" s="2018"/>
      <c r="AA366" s="2018"/>
      <c r="AB366" s="2018"/>
      <c r="AC366" s="2018"/>
      <c r="AD366" s="2018"/>
      <c r="AE366" s="2018"/>
      <c r="AF366" s="201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9"/>
      <c r="G367" s="2019"/>
      <c r="H367" s="2019"/>
      <c r="I367" s="2019"/>
      <c r="J367" s="2019"/>
      <c r="K367" s="2019"/>
      <c r="L367" s="2019"/>
      <c r="M367" s="2019"/>
      <c r="N367" s="2019"/>
      <c r="O367" s="2019"/>
      <c r="P367" s="2019"/>
      <c r="Q367" s="2019"/>
      <c r="R367" s="2019"/>
      <c r="S367" s="2019"/>
      <c r="T367" s="2019"/>
      <c r="U367" s="2019"/>
      <c r="V367" s="2019"/>
      <c r="W367" s="2019"/>
      <c r="X367" s="2019"/>
      <c r="Y367" s="2019"/>
      <c r="Z367" s="2019"/>
      <c r="AA367" s="2019"/>
      <c r="AB367" s="2019"/>
      <c r="AC367" s="2019"/>
      <c r="AD367" s="2019"/>
      <c r="AE367" s="2019"/>
      <c r="AF367" s="201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9"/>
      <c r="G368" s="2019"/>
      <c r="H368" s="2019"/>
      <c r="I368" s="2019"/>
      <c r="J368" s="2019"/>
      <c r="K368" s="2019"/>
      <c r="L368" s="2019"/>
      <c r="M368" s="2019"/>
      <c r="N368" s="2019"/>
      <c r="O368" s="2019"/>
      <c r="P368" s="2019"/>
      <c r="Q368" s="2019"/>
      <c r="R368" s="2019"/>
      <c r="S368" s="2019"/>
      <c r="T368" s="2019"/>
      <c r="U368" s="2019"/>
      <c r="V368" s="2019"/>
      <c r="W368" s="2019"/>
      <c r="X368" s="2019"/>
      <c r="Y368" s="2019"/>
      <c r="Z368" s="2019"/>
      <c r="AA368" s="2019"/>
      <c r="AB368" s="2019"/>
      <c r="AC368" s="2019"/>
      <c r="AD368" s="2019"/>
      <c r="AE368" s="2019"/>
      <c r="AF368" s="201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9"/>
      <c r="G369" s="2019"/>
      <c r="H369" s="2019"/>
      <c r="I369" s="2019"/>
      <c r="J369" s="2019"/>
      <c r="K369" s="2019"/>
      <c r="L369" s="2019"/>
      <c r="M369" s="2019"/>
      <c r="N369" s="2019"/>
      <c r="O369" s="2019"/>
      <c r="P369" s="2019"/>
      <c r="Q369" s="2019"/>
      <c r="R369" s="2019"/>
      <c r="S369" s="2019"/>
      <c r="T369" s="2019"/>
      <c r="U369" s="2019"/>
      <c r="V369" s="2019"/>
      <c r="W369" s="2019"/>
      <c r="X369" s="2019"/>
      <c r="Y369" s="2019"/>
      <c r="Z369" s="2019"/>
      <c r="AA369" s="2019"/>
      <c r="AB369" s="2019"/>
      <c r="AC369" s="2019"/>
      <c r="AD369" s="2019"/>
      <c r="AE369" s="2019"/>
      <c r="AF369" s="201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5" t="s">
        <v>600</v>
      </c>
      <c r="D370" s="1972"/>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6" t="s">
        <v>1575</v>
      </c>
      <c r="AG370" s="2016"/>
      <c r="AH370" s="2016"/>
      <c r="AI370" s="2016"/>
      <c r="AJ370" s="2016"/>
      <c r="AK370" s="2016"/>
      <c r="AL370" s="201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8" t="s">
        <v>1576</v>
      </c>
      <c r="G373" s="2018"/>
      <c r="H373" s="2018"/>
      <c r="I373" s="2018"/>
      <c r="J373" s="2018"/>
      <c r="K373" s="2018"/>
      <c r="L373" s="2018"/>
      <c r="M373" s="2018"/>
      <c r="N373" s="2018"/>
      <c r="O373" s="2018"/>
      <c r="P373" s="2018"/>
      <c r="Q373" s="2018"/>
      <c r="R373" s="2018"/>
      <c r="S373" s="2018"/>
      <c r="T373" s="2018"/>
      <c r="U373" s="2018"/>
      <c r="V373" s="2018"/>
      <c r="W373" s="2018"/>
      <c r="X373" s="2018"/>
      <c r="Y373" s="2018"/>
      <c r="Z373" s="2018"/>
      <c r="AA373" s="2018"/>
      <c r="AB373" s="2018"/>
      <c r="AC373" s="2018"/>
      <c r="AD373" s="2018"/>
      <c r="AE373" s="2018"/>
      <c r="AF373" s="201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9"/>
      <c r="G374" s="2019"/>
      <c r="H374" s="2019"/>
      <c r="I374" s="2019"/>
      <c r="J374" s="2019"/>
      <c r="K374" s="2019"/>
      <c r="L374" s="2019"/>
      <c r="M374" s="2019"/>
      <c r="N374" s="2019"/>
      <c r="O374" s="2019"/>
      <c r="P374" s="2019"/>
      <c r="Q374" s="2019"/>
      <c r="R374" s="2019"/>
      <c r="S374" s="2019"/>
      <c r="T374" s="2019"/>
      <c r="U374" s="2019"/>
      <c r="V374" s="2019"/>
      <c r="W374" s="2019"/>
      <c r="X374" s="2019"/>
      <c r="Y374" s="2019"/>
      <c r="Z374" s="2019"/>
      <c r="AA374" s="2019"/>
      <c r="AB374" s="2019"/>
      <c r="AC374" s="2019"/>
      <c r="AD374" s="2019"/>
      <c r="AE374" s="2019"/>
      <c r="AF374" s="201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9"/>
      <c r="G375" s="2019"/>
      <c r="H375" s="2019"/>
      <c r="I375" s="2019"/>
      <c r="J375" s="2019"/>
      <c r="K375" s="2019"/>
      <c r="L375" s="2019"/>
      <c r="M375" s="2019"/>
      <c r="N375" s="2019"/>
      <c r="O375" s="2019"/>
      <c r="P375" s="2019"/>
      <c r="Q375" s="2019"/>
      <c r="R375" s="2019"/>
      <c r="S375" s="2019"/>
      <c r="T375" s="2019"/>
      <c r="U375" s="2019"/>
      <c r="V375" s="2019"/>
      <c r="W375" s="2019"/>
      <c r="X375" s="2019"/>
      <c r="Y375" s="2019"/>
      <c r="Z375" s="2019"/>
      <c r="AA375" s="2019"/>
      <c r="AB375" s="2019"/>
      <c r="AC375" s="2019"/>
      <c r="AD375" s="2019"/>
      <c r="AE375" s="2019"/>
      <c r="AF375" s="201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9"/>
      <c r="G376" s="2019"/>
      <c r="H376" s="2019"/>
      <c r="I376" s="2019"/>
      <c r="J376" s="2019"/>
      <c r="K376" s="2019"/>
      <c r="L376" s="2019"/>
      <c r="M376" s="2019"/>
      <c r="N376" s="2019"/>
      <c r="O376" s="2019"/>
      <c r="P376" s="2019"/>
      <c r="Q376" s="2019"/>
      <c r="R376" s="2019"/>
      <c r="S376" s="2019"/>
      <c r="T376" s="2019"/>
      <c r="U376" s="2019"/>
      <c r="V376" s="2019"/>
      <c r="W376" s="2019"/>
      <c r="X376" s="2019"/>
      <c r="Y376" s="2019"/>
      <c r="Z376" s="2019"/>
      <c r="AA376" s="2019"/>
      <c r="AB376" s="2019"/>
      <c r="AC376" s="2019"/>
      <c r="AD376" s="2019"/>
      <c r="AE376" s="2019"/>
      <c r="AF376" s="201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9"/>
      <c r="G377" s="2019"/>
      <c r="H377" s="2019"/>
      <c r="I377" s="2019"/>
      <c r="J377" s="2019"/>
      <c r="K377" s="2019"/>
      <c r="L377" s="2019"/>
      <c r="M377" s="2019"/>
      <c r="N377" s="2019"/>
      <c r="O377" s="2019"/>
      <c r="P377" s="2019"/>
      <c r="Q377" s="2019"/>
      <c r="R377" s="2019"/>
      <c r="S377" s="2019"/>
      <c r="T377" s="2019"/>
      <c r="U377" s="2019"/>
      <c r="V377" s="2019"/>
      <c r="W377" s="2019"/>
      <c r="X377" s="2019"/>
      <c r="Y377" s="2019"/>
      <c r="Z377" s="2019"/>
      <c r="AA377" s="2019"/>
      <c r="AB377" s="2019"/>
      <c r="AC377" s="2019"/>
      <c r="AD377" s="2019"/>
      <c r="AE377" s="2019"/>
      <c r="AF377" s="2019"/>
      <c r="AL377" s="766"/>
      <c r="AN377" s="631"/>
      <c r="BS377" s="30"/>
      <c r="BT377" s="30"/>
      <c r="BU377" s="14"/>
      <c r="BV377" s="14"/>
      <c r="BW377" s="14"/>
      <c r="BX377" s="14"/>
      <c r="BY377" s="14"/>
      <c r="BZ377" s="14"/>
      <c r="CA377" s="14"/>
      <c r="CB377" s="14"/>
      <c r="CC377" s="14"/>
    </row>
    <row r="378" spans="1:81" s="584" customFormat="1" ht="12.75" customHeight="1">
      <c r="A378" s="570"/>
      <c r="B378" s="14"/>
      <c r="C378" s="2015" t="s">
        <v>600</v>
      </c>
      <c r="D378" s="1972"/>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6" t="s">
        <v>1575</v>
      </c>
      <c r="AG378" s="2016"/>
      <c r="AH378" s="2016"/>
      <c r="AI378" s="2016"/>
      <c r="AJ378" s="2016"/>
      <c r="AK378" s="2016"/>
      <c r="AL378" s="201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8" t="s">
        <v>1578</v>
      </c>
      <c r="G381" s="2018"/>
      <c r="H381" s="2018"/>
      <c r="I381" s="2018"/>
      <c r="J381" s="2018"/>
      <c r="K381" s="2018"/>
      <c r="L381" s="2018"/>
      <c r="M381" s="2018"/>
      <c r="N381" s="2018"/>
      <c r="O381" s="2018"/>
      <c r="P381" s="2018"/>
      <c r="Q381" s="2018"/>
      <c r="R381" s="2018"/>
      <c r="S381" s="2018"/>
      <c r="T381" s="2018"/>
      <c r="U381" s="2018"/>
      <c r="V381" s="2018"/>
      <c r="W381" s="2018"/>
      <c r="X381" s="2018"/>
      <c r="Y381" s="2018"/>
      <c r="Z381" s="2018"/>
      <c r="AA381" s="2018"/>
      <c r="AB381" s="2018"/>
      <c r="AC381" s="2018"/>
      <c r="AD381" s="2018"/>
      <c r="AE381" s="2018"/>
      <c r="AF381" s="201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9"/>
      <c r="G382" s="2019"/>
      <c r="H382" s="2019"/>
      <c r="I382" s="2019"/>
      <c r="J382" s="2019"/>
      <c r="K382" s="2019"/>
      <c r="L382" s="2019"/>
      <c r="M382" s="2019"/>
      <c r="N382" s="2019"/>
      <c r="O382" s="2019"/>
      <c r="P382" s="2019"/>
      <c r="Q382" s="2019"/>
      <c r="R382" s="2019"/>
      <c r="S382" s="2019"/>
      <c r="T382" s="2019"/>
      <c r="U382" s="2019"/>
      <c r="V382" s="2019"/>
      <c r="W382" s="2019"/>
      <c r="X382" s="2019"/>
      <c r="Y382" s="2019"/>
      <c r="Z382" s="2019"/>
      <c r="AA382" s="2019"/>
      <c r="AB382" s="2019"/>
      <c r="AC382" s="2019"/>
      <c r="AD382" s="2019"/>
      <c r="AE382" s="2019"/>
      <c r="AF382" s="201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9"/>
      <c r="G383" s="2019"/>
      <c r="H383" s="2019"/>
      <c r="I383" s="2019"/>
      <c r="J383" s="2019"/>
      <c r="K383" s="2019"/>
      <c r="L383" s="2019"/>
      <c r="M383" s="2019"/>
      <c r="N383" s="2019"/>
      <c r="O383" s="2019"/>
      <c r="P383" s="2019"/>
      <c r="Q383" s="2019"/>
      <c r="R383" s="2019"/>
      <c r="S383" s="2019"/>
      <c r="T383" s="2019"/>
      <c r="U383" s="2019"/>
      <c r="V383" s="2019"/>
      <c r="W383" s="2019"/>
      <c r="X383" s="2019"/>
      <c r="Y383" s="2019"/>
      <c r="Z383" s="2019"/>
      <c r="AA383" s="2019"/>
      <c r="AB383" s="2019"/>
      <c r="AC383" s="2019"/>
      <c r="AD383" s="2019"/>
      <c r="AE383" s="2019"/>
      <c r="AF383" s="201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9"/>
      <c r="G384" s="2019"/>
      <c r="H384" s="2019"/>
      <c r="I384" s="2019"/>
      <c r="J384" s="2019"/>
      <c r="K384" s="2019"/>
      <c r="L384" s="2019"/>
      <c r="M384" s="2019"/>
      <c r="N384" s="2019"/>
      <c r="O384" s="2019"/>
      <c r="P384" s="2019"/>
      <c r="Q384" s="2019"/>
      <c r="R384" s="2019"/>
      <c r="S384" s="2019"/>
      <c r="T384" s="2019"/>
      <c r="U384" s="2019"/>
      <c r="V384" s="2019"/>
      <c r="W384" s="2019"/>
      <c r="X384" s="2019"/>
      <c r="Y384" s="2019"/>
      <c r="Z384" s="2019"/>
      <c r="AA384" s="2019"/>
      <c r="AB384" s="2019"/>
      <c r="AC384" s="2019"/>
      <c r="AD384" s="2019"/>
      <c r="AE384" s="2019"/>
      <c r="AF384" s="201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9"/>
      <c r="G385" s="2019"/>
      <c r="H385" s="2019"/>
      <c r="I385" s="2019"/>
      <c r="J385" s="2019"/>
      <c r="K385" s="2019"/>
      <c r="L385" s="2019"/>
      <c r="M385" s="2019"/>
      <c r="N385" s="2019"/>
      <c r="O385" s="2019"/>
      <c r="P385" s="2019"/>
      <c r="Q385" s="2019"/>
      <c r="R385" s="2019"/>
      <c r="S385" s="2019"/>
      <c r="T385" s="2019"/>
      <c r="U385" s="2019"/>
      <c r="V385" s="2019"/>
      <c r="W385" s="2019"/>
      <c r="X385" s="2019"/>
      <c r="Y385" s="2019"/>
      <c r="Z385" s="2019"/>
      <c r="AA385" s="2019"/>
      <c r="AB385" s="2019"/>
      <c r="AC385" s="2019"/>
      <c r="AD385" s="2019"/>
      <c r="AE385" s="2019"/>
      <c r="AF385" s="201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5" t="s">
        <v>600</v>
      </c>
      <c r="D386" s="1972"/>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6" t="s">
        <v>1580</v>
      </c>
      <c r="AG386" s="2016"/>
      <c r="AH386" s="2016"/>
      <c r="AI386" s="2016"/>
      <c r="AJ386" s="2016"/>
      <c r="AK386" s="2016"/>
      <c r="AL386" s="201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5" t="s">
        <v>554</v>
      </c>
      <c r="D388" s="1972"/>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6" t="s">
        <v>1575</v>
      </c>
      <c r="AG388" s="2016"/>
      <c r="AH388" s="2016"/>
      <c r="AI388" s="2016"/>
      <c r="AJ388" s="2016"/>
      <c r="AK388" s="2016"/>
      <c r="AL388" s="201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8" t="s">
        <v>1584</v>
      </c>
      <c r="G392" s="2018"/>
      <c r="H392" s="2018"/>
      <c r="I392" s="2018"/>
      <c r="J392" s="2018"/>
      <c r="K392" s="2018"/>
      <c r="L392" s="2018"/>
      <c r="M392" s="2018"/>
      <c r="N392" s="2018"/>
      <c r="O392" s="2018"/>
      <c r="P392" s="2018"/>
      <c r="Q392" s="2018"/>
      <c r="R392" s="2018"/>
      <c r="S392" s="2018"/>
      <c r="T392" s="2018"/>
      <c r="U392" s="2018"/>
      <c r="V392" s="2018"/>
      <c r="W392" s="2018"/>
      <c r="X392" s="2018"/>
      <c r="Y392" s="2018"/>
      <c r="Z392" s="2018"/>
      <c r="AA392" s="2018"/>
      <c r="AB392" s="2018"/>
      <c r="AC392" s="2018"/>
      <c r="AD392" s="2018"/>
      <c r="AE392" s="2018"/>
      <c r="AF392" s="201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9"/>
      <c r="G393" s="2019"/>
      <c r="H393" s="2019"/>
      <c r="I393" s="2019"/>
      <c r="J393" s="2019"/>
      <c r="K393" s="2019"/>
      <c r="L393" s="2019"/>
      <c r="M393" s="2019"/>
      <c r="N393" s="2019"/>
      <c r="O393" s="2019"/>
      <c r="P393" s="2019"/>
      <c r="Q393" s="2019"/>
      <c r="R393" s="2019"/>
      <c r="S393" s="2019"/>
      <c r="T393" s="2019"/>
      <c r="U393" s="2019"/>
      <c r="V393" s="2019"/>
      <c r="W393" s="2019"/>
      <c r="X393" s="2019"/>
      <c r="Y393" s="2019"/>
      <c r="Z393" s="2019"/>
      <c r="AA393" s="2019"/>
      <c r="AB393" s="2019"/>
      <c r="AC393" s="2019"/>
      <c r="AD393" s="2019"/>
      <c r="AE393" s="2019"/>
      <c r="AF393" s="201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9"/>
      <c r="G394" s="2019"/>
      <c r="H394" s="2019"/>
      <c r="I394" s="2019"/>
      <c r="J394" s="2019"/>
      <c r="K394" s="2019"/>
      <c r="L394" s="2019"/>
      <c r="M394" s="2019"/>
      <c r="N394" s="2019"/>
      <c r="O394" s="2019"/>
      <c r="P394" s="2019"/>
      <c r="Q394" s="2019"/>
      <c r="R394" s="2019"/>
      <c r="S394" s="2019"/>
      <c r="T394" s="2019"/>
      <c r="U394" s="2019"/>
      <c r="V394" s="2019"/>
      <c r="W394" s="2019"/>
      <c r="X394" s="2019"/>
      <c r="Y394" s="2019"/>
      <c r="Z394" s="2019"/>
      <c r="AA394" s="2019"/>
      <c r="AB394" s="2019"/>
      <c r="AC394" s="2019"/>
      <c r="AD394" s="2019"/>
      <c r="AE394" s="2019"/>
      <c r="AF394" s="201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9"/>
      <c r="G395" s="2019"/>
      <c r="H395" s="2019"/>
      <c r="I395" s="2019"/>
      <c r="J395" s="2019"/>
      <c r="K395" s="2019"/>
      <c r="L395" s="2019"/>
      <c r="M395" s="2019"/>
      <c r="N395" s="2019"/>
      <c r="O395" s="2019"/>
      <c r="P395" s="2019"/>
      <c r="Q395" s="2019"/>
      <c r="R395" s="2019"/>
      <c r="S395" s="2019"/>
      <c r="T395" s="2019"/>
      <c r="U395" s="2019"/>
      <c r="V395" s="2019"/>
      <c r="W395" s="2019"/>
      <c r="X395" s="2019"/>
      <c r="Y395" s="2019"/>
      <c r="Z395" s="2019"/>
      <c r="AA395" s="2019"/>
      <c r="AB395" s="2019"/>
      <c r="AC395" s="2019"/>
      <c r="AD395" s="2019"/>
      <c r="AE395" s="2019"/>
      <c r="AF395" s="201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5" t="s">
        <v>600</v>
      </c>
      <c r="D396" s="1972"/>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6" t="s">
        <v>1575</v>
      </c>
      <c r="AG396" s="2016"/>
      <c r="AH396" s="2016"/>
      <c r="AI396" s="2016"/>
      <c r="AJ396" s="2016"/>
      <c r="AK396" s="2016"/>
      <c r="AL396" s="201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5" t="s">
        <v>600</v>
      </c>
      <c r="D398" s="1972"/>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6" t="s">
        <v>1587</v>
      </c>
      <c r="AG398" s="2016"/>
      <c r="AH398" s="2016"/>
      <c r="AI398" s="2016"/>
      <c r="AJ398" s="2016"/>
      <c r="AK398" s="2016"/>
      <c r="AL398" s="201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5" t="s">
        <v>600</v>
      </c>
      <c r="D401" s="1972"/>
      <c r="E401" s="749" t="s">
        <v>1588</v>
      </c>
      <c r="F401" s="2018" t="s">
        <v>1589</v>
      </c>
      <c r="G401" s="2018"/>
      <c r="H401" s="2018"/>
      <c r="I401" s="2018"/>
      <c r="J401" s="2018"/>
      <c r="K401" s="2018"/>
      <c r="L401" s="2018"/>
      <c r="M401" s="2018"/>
      <c r="N401" s="2018"/>
      <c r="O401" s="2018"/>
      <c r="P401" s="2018"/>
      <c r="Q401" s="2018"/>
      <c r="R401" s="2018"/>
      <c r="S401" s="2018"/>
      <c r="T401" s="2018"/>
      <c r="U401" s="2018"/>
      <c r="V401" s="2018"/>
      <c r="W401" s="2018"/>
      <c r="X401" s="2018"/>
      <c r="Y401" s="2018"/>
      <c r="Z401" s="2018"/>
      <c r="AA401" s="2018"/>
      <c r="AB401" s="2018"/>
      <c r="AC401" s="2018"/>
      <c r="AD401" s="2018"/>
      <c r="AE401" s="201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9"/>
      <c r="G402" s="2019"/>
      <c r="H402" s="2019"/>
      <c r="I402" s="2019"/>
      <c r="J402" s="2019"/>
      <c r="K402" s="2019"/>
      <c r="L402" s="2019"/>
      <c r="M402" s="2019"/>
      <c r="N402" s="2019"/>
      <c r="O402" s="2019"/>
      <c r="P402" s="2019"/>
      <c r="Q402" s="2019"/>
      <c r="R402" s="2019"/>
      <c r="S402" s="2019"/>
      <c r="T402" s="2019"/>
      <c r="U402" s="2019"/>
      <c r="V402" s="2019"/>
      <c r="W402" s="2019"/>
      <c r="X402" s="2019"/>
      <c r="Y402" s="2019"/>
      <c r="Z402" s="2019"/>
      <c r="AA402" s="2019"/>
      <c r="AB402" s="2019"/>
      <c r="AC402" s="2019"/>
      <c r="AD402" s="2019"/>
      <c r="AE402" s="2019"/>
      <c r="AF402" s="1942" t="s">
        <v>1575</v>
      </c>
      <c r="AG402" s="1942"/>
      <c r="AH402" s="1942"/>
      <c r="AI402" s="1942"/>
      <c r="AJ402" s="1942"/>
      <c r="AK402" s="1942"/>
      <c r="AL402" s="2020"/>
      <c r="AM402" s="604"/>
      <c r="AN402" s="631"/>
      <c r="BS402" s="604"/>
      <c r="BT402" s="604"/>
      <c r="BY402" s="604"/>
      <c r="BZ402" s="604"/>
      <c r="CA402" s="604"/>
      <c r="CB402" s="604"/>
      <c r="CC402" s="604"/>
    </row>
    <row r="403" spans="1:81" s="584" customFormat="1" ht="12.75" customHeight="1">
      <c r="A403" s="570"/>
      <c r="B403" s="14"/>
      <c r="C403" s="765"/>
      <c r="D403" s="14"/>
      <c r="E403" s="725"/>
      <c r="F403" s="2019"/>
      <c r="G403" s="2019"/>
      <c r="H403" s="2019"/>
      <c r="I403" s="2019"/>
      <c r="J403" s="2019"/>
      <c r="K403" s="2019"/>
      <c r="L403" s="2019"/>
      <c r="M403" s="2019"/>
      <c r="N403" s="2019"/>
      <c r="O403" s="2019"/>
      <c r="P403" s="2019"/>
      <c r="Q403" s="2019"/>
      <c r="R403" s="2019"/>
      <c r="S403" s="2019"/>
      <c r="T403" s="2019"/>
      <c r="U403" s="2019"/>
      <c r="V403" s="2019"/>
      <c r="W403" s="2019"/>
      <c r="X403" s="2019"/>
      <c r="Y403" s="2019"/>
      <c r="Z403" s="2019"/>
      <c r="AA403" s="2019"/>
      <c r="AB403" s="2019"/>
      <c r="AC403" s="2019"/>
      <c r="AD403" s="2019"/>
      <c r="AE403" s="201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8"/>
      <c r="G404" s="2038"/>
      <c r="H404" s="2038"/>
      <c r="I404" s="2038"/>
      <c r="J404" s="2038"/>
      <c r="K404" s="2038"/>
      <c r="L404" s="2038"/>
      <c r="M404" s="2038"/>
      <c r="N404" s="2038"/>
      <c r="O404" s="2038"/>
      <c r="P404" s="2038"/>
      <c r="Q404" s="2038"/>
      <c r="R404" s="2038"/>
      <c r="S404" s="2038"/>
      <c r="T404" s="2038"/>
      <c r="U404" s="2038"/>
      <c r="V404" s="2038"/>
      <c r="W404" s="2038"/>
      <c r="X404" s="2038"/>
      <c r="Y404" s="2038"/>
      <c r="Z404" s="2038"/>
      <c r="AA404" s="2038"/>
      <c r="AB404" s="2038"/>
      <c r="AC404" s="2038"/>
      <c r="AD404" s="2038"/>
      <c r="AE404" s="203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8" t="s">
        <v>1591</v>
      </c>
      <c r="G406" s="2018"/>
      <c r="H406" s="2018"/>
      <c r="I406" s="2018"/>
      <c r="J406" s="2018"/>
      <c r="K406" s="2018"/>
      <c r="L406" s="2018"/>
      <c r="M406" s="2018"/>
      <c r="N406" s="2018"/>
      <c r="O406" s="2018"/>
      <c r="P406" s="2018"/>
      <c r="Q406" s="2018"/>
      <c r="R406" s="2018"/>
      <c r="S406" s="2018"/>
      <c r="T406" s="2018"/>
      <c r="U406" s="2018"/>
      <c r="V406" s="2018"/>
      <c r="W406" s="2018"/>
      <c r="X406" s="2018"/>
      <c r="Y406" s="2018"/>
      <c r="Z406" s="2018"/>
      <c r="AA406" s="2018"/>
      <c r="AB406" s="2018"/>
      <c r="AC406" s="2018"/>
      <c r="AD406" s="2018"/>
      <c r="AE406" s="2018"/>
      <c r="AF406" s="781"/>
      <c r="AG406" s="781"/>
      <c r="AH406" s="781"/>
      <c r="AI406" s="781"/>
      <c r="AJ406" s="781"/>
      <c r="AK406" s="781"/>
      <c r="AL406" s="782"/>
      <c r="AM406" s="604"/>
    </row>
    <row r="407" spans="1:81">
      <c r="A407" s="570"/>
      <c r="C407" s="765"/>
      <c r="E407" s="725"/>
      <c r="F407" s="2019"/>
      <c r="G407" s="2019"/>
      <c r="H407" s="2019"/>
      <c r="I407" s="2019"/>
      <c r="J407" s="2019"/>
      <c r="K407" s="2019"/>
      <c r="L407" s="2019"/>
      <c r="M407" s="2019"/>
      <c r="N407" s="2019"/>
      <c r="O407" s="2019"/>
      <c r="P407" s="2019"/>
      <c r="Q407" s="2019"/>
      <c r="R407" s="2019"/>
      <c r="S407" s="2019"/>
      <c r="T407" s="2019"/>
      <c r="U407" s="2019"/>
      <c r="V407" s="2019"/>
      <c r="W407" s="2019"/>
      <c r="X407" s="2019"/>
      <c r="Y407" s="2019"/>
      <c r="Z407" s="2019"/>
      <c r="AA407" s="2019"/>
      <c r="AB407" s="2019"/>
      <c r="AC407" s="2019"/>
      <c r="AD407" s="2019"/>
      <c r="AE407" s="2019"/>
      <c r="AF407" s="573"/>
      <c r="AG407" s="570"/>
      <c r="AH407" s="584"/>
      <c r="AI407" s="584"/>
      <c r="AJ407" s="584"/>
      <c r="AK407" s="584"/>
      <c r="AL407" s="766"/>
      <c r="AM407" s="604"/>
    </row>
    <row r="408" spans="1:81" s="584" customFormat="1" ht="12.75" customHeight="1">
      <c r="A408" s="570"/>
      <c r="B408" s="14"/>
      <c r="C408" s="765"/>
      <c r="D408" s="14"/>
      <c r="E408" s="725"/>
      <c r="F408" s="2019"/>
      <c r="G408" s="2019"/>
      <c r="H408" s="2019"/>
      <c r="I408" s="2019"/>
      <c r="J408" s="2019"/>
      <c r="K408" s="2019"/>
      <c r="L408" s="2019"/>
      <c r="M408" s="2019"/>
      <c r="N408" s="2019"/>
      <c r="O408" s="2019"/>
      <c r="P408" s="2019"/>
      <c r="Q408" s="2019"/>
      <c r="R408" s="2019"/>
      <c r="S408" s="2019"/>
      <c r="T408" s="2019"/>
      <c r="U408" s="2019"/>
      <c r="V408" s="2019"/>
      <c r="W408" s="2019"/>
      <c r="X408" s="2019"/>
      <c r="Y408" s="2019"/>
      <c r="Z408" s="2019"/>
      <c r="AA408" s="2019"/>
      <c r="AB408" s="2019"/>
      <c r="AC408" s="2019"/>
      <c r="AD408" s="2019"/>
      <c r="AE408" s="2019"/>
      <c r="AL408" s="766"/>
      <c r="AM408" s="604"/>
      <c r="AN408" s="631"/>
    </row>
    <row r="409" spans="1:81" s="584" customFormat="1" ht="12.75" customHeight="1">
      <c r="A409" s="570"/>
      <c r="B409" s="14"/>
      <c r="C409" s="773"/>
      <c r="F409" s="2019"/>
      <c r="G409" s="2019"/>
      <c r="H409" s="2019"/>
      <c r="I409" s="2019"/>
      <c r="J409" s="2019"/>
      <c r="K409" s="2019"/>
      <c r="L409" s="2019"/>
      <c r="M409" s="2019"/>
      <c r="N409" s="2019"/>
      <c r="O409" s="2019"/>
      <c r="P409" s="2019"/>
      <c r="Q409" s="2019"/>
      <c r="R409" s="2019"/>
      <c r="S409" s="2019"/>
      <c r="T409" s="2019"/>
      <c r="U409" s="2019"/>
      <c r="V409" s="2019"/>
      <c r="W409" s="2019"/>
      <c r="X409" s="2019"/>
      <c r="Y409" s="2019"/>
      <c r="Z409" s="2019"/>
      <c r="AA409" s="2019"/>
      <c r="AB409" s="2019"/>
      <c r="AC409" s="2019"/>
      <c r="AD409" s="2019"/>
      <c r="AE409" s="2019"/>
      <c r="AL409" s="766"/>
      <c r="AM409" s="604"/>
      <c r="AN409" s="631"/>
    </row>
    <row r="410" spans="1:81" s="584" customFormat="1" ht="12.75" customHeight="1">
      <c r="A410" s="570"/>
      <c r="B410" s="14"/>
      <c r="C410" s="2015" t="s">
        <v>554</v>
      </c>
      <c r="D410" s="1972"/>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2" t="s">
        <v>1575</v>
      </c>
      <c r="AG410" s="1942"/>
      <c r="AH410" s="1942"/>
      <c r="AI410" s="1942"/>
      <c r="AJ410" s="1942"/>
      <c r="AK410" s="1942"/>
      <c r="AL410" s="2020"/>
      <c r="AM410" s="604"/>
      <c r="AN410" s="631"/>
    </row>
    <row r="411" spans="1:81" s="584" customFormat="1" ht="12.75" customHeight="1">
      <c r="A411" s="570"/>
      <c r="B411" s="14"/>
      <c r="C411" s="773"/>
      <c r="AL411" s="766"/>
      <c r="AM411" s="604"/>
      <c r="AN411" s="631"/>
    </row>
    <row r="412" spans="1:81" s="584" customFormat="1" ht="12.75" customHeight="1">
      <c r="A412" s="570"/>
      <c r="B412" s="14"/>
      <c r="C412" s="2015" t="s">
        <v>600</v>
      </c>
      <c r="D412" s="1972"/>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2" t="s">
        <v>1587</v>
      </c>
      <c r="AG412" s="1942"/>
      <c r="AH412" s="1942"/>
      <c r="AI412" s="1942"/>
      <c r="AJ412" s="1942"/>
      <c r="AK412" s="1942"/>
      <c r="AL412" s="202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8" t="s">
        <v>1595</v>
      </c>
      <c r="G416" s="2018"/>
      <c r="H416" s="2018"/>
      <c r="I416" s="2018"/>
      <c r="J416" s="2018"/>
      <c r="K416" s="2018"/>
      <c r="L416" s="2018"/>
      <c r="M416" s="2018"/>
      <c r="N416" s="2018"/>
      <c r="O416" s="2018"/>
      <c r="P416" s="2018"/>
      <c r="Q416" s="2018"/>
      <c r="R416" s="2018"/>
      <c r="S416" s="2018"/>
      <c r="T416" s="2018"/>
      <c r="U416" s="2018"/>
      <c r="V416" s="2018"/>
      <c r="W416" s="2018"/>
      <c r="X416" s="2018"/>
      <c r="Y416" s="2018"/>
      <c r="Z416" s="2018"/>
      <c r="AA416" s="2018"/>
      <c r="AB416" s="2018"/>
      <c r="AC416" s="2018"/>
      <c r="AD416" s="2018"/>
      <c r="AE416" s="2018"/>
      <c r="AF416" s="748"/>
      <c r="AG416" s="748"/>
      <c r="AH416" s="748"/>
      <c r="AI416" s="748"/>
      <c r="AJ416" s="748"/>
      <c r="AK416" s="748"/>
      <c r="AL416" s="779"/>
      <c r="AM416" s="604"/>
      <c r="AN416" s="631"/>
    </row>
    <row r="417" spans="1:60" s="584" customFormat="1" ht="12.75" customHeight="1">
      <c r="A417" s="570"/>
      <c r="B417" s="14"/>
      <c r="C417" s="765"/>
      <c r="D417" s="14"/>
      <c r="E417" s="725"/>
      <c r="F417" s="2019"/>
      <c r="G417" s="2019"/>
      <c r="H417" s="2019"/>
      <c r="I417" s="2019"/>
      <c r="J417" s="2019"/>
      <c r="K417" s="2019"/>
      <c r="L417" s="2019"/>
      <c r="M417" s="2019"/>
      <c r="N417" s="2019"/>
      <c r="O417" s="2019"/>
      <c r="P417" s="2019"/>
      <c r="Q417" s="2019"/>
      <c r="R417" s="2019"/>
      <c r="S417" s="2019"/>
      <c r="T417" s="2019"/>
      <c r="U417" s="2019"/>
      <c r="V417" s="2019"/>
      <c r="W417" s="2019"/>
      <c r="X417" s="2019"/>
      <c r="Y417" s="2019"/>
      <c r="Z417" s="2019"/>
      <c r="AA417" s="2019"/>
      <c r="AB417" s="2019"/>
      <c r="AC417" s="2019"/>
      <c r="AD417" s="2019"/>
      <c r="AE417" s="2019"/>
      <c r="AF417" s="573"/>
      <c r="AG417" s="570"/>
      <c r="AL417" s="766"/>
      <c r="AM417" s="604"/>
      <c r="AN417" s="631"/>
    </row>
    <row r="418" spans="1:60" s="584" customFormat="1" ht="12.4" customHeight="1">
      <c r="A418" s="570"/>
      <c r="B418" s="14"/>
      <c r="C418" s="765"/>
      <c r="D418" s="14"/>
      <c r="E418" s="725"/>
      <c r="F418" s="2019"/>
      <c r="G418" s="2019"/>
      <c r="H418" s="2019"/>
      <c r="I418" s="2019"/>
      <c r="J418" s="2019"/>
      <c r="K418" s="2019"/>
      <c r="L418" s="2019"/>
      <c r="M418" s="2019"/>
      <c r="N418" s="2019"/>
      <c r="O418" s="2019"/>
      <c r="P418" s="2019"/>
      <c r="Q418" s="2019"/>
      <c r="R418" s="2019"/>
      <c r="S418" s="2019"/>
      <c r="T418" s="2019"/>
      <c r="U418" s="2019"/>
      <c r="V418" s="2019"/>
      <c r="W418" s="2019"/>
      <c r="X418" s="2019"/>
      <c r="Y418" s="2019"/>
      <c r="Z418" s="2019"/>
      <c r="AA418" s="2019"/>
      <c r="AB418" s="2019"/>
      <c r="AC418" s="2019"/>
      <c r="AD418" s="2019"/>
      <c r="AE418" s="2019"/>
      <c r="AL418" s="766"/>
      <c r="AM418" s="604"/>
      <c r="AN418" s="631"/>
    </row>
    <row r="419" spans="1:60" s="584" customFormat="1" ht="12.75" customHeight="1">
      <c r="A419" s="570"/>
      <c r="B419" s="14"/>
      <c r="C419" s="2015" t="s">
        <v>600</v>
      </c>
      <c r="D419" s="1972"/>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2" t="s">
        <v>1575</v>
      </c>
      <c r="AG419" s="1942"/>
      <c r="AH419" s="1942"/>
      <c r="AI419" s="1942"/>
      <c r="AJ419" s="1942"/>
      <c r="AK419" s="1942"/>
      <c r="AL419" s="202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18" t="s">
        <v>1598</v>
      </c>
      <c r="G422" s="2018"/>
      <c r="H422" s="2018"/>
      <c r="I422" s="2018"/>
      <c r="J422" s="2018"/>
      <c r="K422" s="2018"/>
      <c r="L422" s="2018"/>
      <c r="M422" s="2018"/>
      <c r="N422" s="2018"/>
      <c r="O422" s="2018"/>
      <c r="P422" s="2018"/>
      <c r="Q422" s="2018"/>
      <c r="R422" s="2018"/>
      <c r="S422" s="2018"/>
      <c r="T422" s="2018"/>
      <c r="U422" s="2018"/>
      <c r="V422" s="2018"/>
      <c r="W422" s="2018"/>
      <c r="X422" s="2018"/>
      <c r="Y422" s="2018"/>
      <c r="Z422" s="2018"/>
      <c r="AA422" s="2018"/>
      <c r="AB422" s="2018"/>
      <c r="AC422" s="2018"/>
      <c r="AD422" s="2018"/>
      <c r="AE422" s="2018"/>
      <c r="AF422" s="781"/>
      <c r="AG422" s="781"/>
      <c r="AH422" s="781"/>
      <c r="AI422" s="781"/>
      <c r="AJ422" s="781"/>
      <c r="AK422" s="781"/>
      <c r="AL422" s="782"/>
      <c r="AM422" s="604"/>
      <c r="AO422" s="584"/>
      <c r="AP422" s="584"/>
      <c r="BD422" s="14"/>
      <c r="BE422" s="14"/>
      <c r="BF422" s="14"/>
      <c r="BG422" s="14"/>
      <c r="BH422" s="14"/>
    </row>
    <row r="423" spans="1:60">
      <c r="A423" s="570"/>
      <c r="C423" s="765"/>
      <c r="E423" s="725"/>
      <c r="F423" s="2019"/>
      <c r="G423" s="2019"/>
      <c r="H423" s="2019"/>
      <c r="I423" s="2019"/>
      <c r="J423" s="2019"/>
      <c r="K423" s="2019"/>
      <c r="L423" s="2019"/>
      <c r="M423" s="2019"/>
      <c r="N423" s="2019"/>
      <c r="O423" s="2019"/>
      <c r="P423" s="2019"/>
      <c r="Q423" s="2019"/>
      <c r="R423" s="2019"/>
      <c r="S423" s="2019"/>
      <c r="T423" s="2019"/>
      <c r="U423" s="2019"/>
      <c r="V423" s="2019"/>
      <c r="W423" s="2019"/>
      <c r="X423" s="2019"/>
      <c r="Y423" s="2019"/>
      <c r="Z423" s="2019"/>
      <c r="AA423" s="2019"/>
      <c r="AB423" s="2019"/>
      <c r="AC423" s="2019"/>
      <c r="AD423" s="2019"/>
      <c r="AE423" s="2019"/>
      <c r="AF423" s="628"/>
      <c r="AG423" s="628"/>
      <c r="AH423" s="628"/>
      <c r="AI423" s="628"/>
      <c r="AJ423" s="628"/>
      <c r="AK423" s="628"/>
      <c r="AL423" s="784"/>
      <c r="AM423" s="604"/>
      <c r="AO423" s="584"/>
      <c r="AP423" s="584"/>
    </row>
    <row r="424" spans="1:60" s="584" customFormat="1" ht="12.75" customHeight="1">
      <c r="A424" s="570"/>
      <c r="B424" s="14"/>
      <c r="C424" s="765"/>
      <c r="D424" s="14"/>
      <c r="E424" s="725"/>
      <c r="F424" s="2019"/>
      <c r="G424" s="2019"/>
      <c r="H424" s="2019"/>
      <c r="I424" s="2019"/>
      <c r="J424" s="2019"/>
      <c r="K424" s="2019"/>
      <c r="L424" s="2019"/>
      <c r="M424" s="2019"/>
      <c r="N424" s="2019"/>
      <c r="O424" s="2019"/>
      <c r="P424" s="2019"/>
      <c r="Q424" s="2019"/>
      <c r="R424" s="2019"/>
      <c r="S424" s="2019"/>
      <c r="T424" s="2019"/>
      <c r="U424" s="2019"/>
      <c r="V424" s="2019"/>
      <c r="W424" s="2019"/>
      <c r="X424" s="2019"/>
      <c r="Y424" s="2019"/>
      <c r="Z424" s="2019"/>
      <c r="AA424" s="2019"/>
      <c r="AB424" s="2019"/>
      <c r="AC424" s="2019"/>
      <c r="AD424" s="2019"/>
      <c r="AE424" s="2019"/>
      <c r="AF424" s="628"/>
      <c r="AG424" s="628"/>
      <c r="AH424" s="628"/>
      <c r="AI424" s="628"/>
      <c r="AJ424" s="628"/>
      <c r="AK424" s="628"/>
      <c r="AL424" s="784"/>
      <c r="AM424" s="604"/>
      <c r="AN424" s="631"/>
    </row>
    <row r="425" spans="1:60" s="584" customFormat="1" ht="12.75" customHeight="1">
      <c r="A425" s="570"/>
      <c r="B425" s="14"/>
      <c r="C425" s="785"/>
      <c r="D425" s="764"/>
      <c r="E425" s="753"/>
      <c r="F425" s="2019"/>
      <c r="G425" s="2019"/>
      <c r="H425" s="2019"/>
      <c r="I425" s="2019"/>
      <c r="J425" s="2019"/>
      <c r="K425" s="2019"/>
      <c r="L425" s="2019"/>
      <c r="M425" s="2019"/>
      <c r="N425" s="2019"/>
      <c r="O425" s="2019"/>
      <c r="P425" s="2019"/>
      <c r="Q425" s="2019"/>
      <c r="R425" s="2019"/>
      <c r="S425" s="2019"/>
      <c r="T425" s="2019"/>
      <c r="U425" s="2019"/>
      <c r="V425" s="2019"/>
      <c r="W425" s="2019"/>
      <c r="X425" s="2019"/>
      <c r="Y425" s="2019"/>
      <c r="Z425" s="2019"/>
      <c r="AA425" s="2019"/>
      <c r="AB425" s="2019"/>
      <c r="AC425" s="2019"/>
      <c r="AD425" s="2019"/>
      <c r="AE425" s="201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9"/>
      <c r="G426" s="2019"/>
      <c r="H426" s="2019"/>
      <c r="I426" s="2019"/>
      <c r="J426" s="2019"/>
      <c r="K426" s="2019"/>
      <c r="L426" s="2019"/>
      <c r="M426" s="2019"/>
      <c r="N426" s="2019"/>
      <c r="O426" s="2019"/>
      <c r="P426" s="2019"/>
      <c r="Q426" s="2019"/>
      <c r="R426" s="2019"/>
      <c r="S426" s="2019"/>
      <c r="T426" s="2019"/>
      <c r="U426" s="2019"/>
      <c r="V426" s="2019"/>
      <c r="W426" s="2019"/>
      <c r="X426" s="2019"/>
      <c r="Y426" s="2019"/>
      <c r="Z426" s="2019"/>
      <c r="AA426" s="2019"/>
      <c r="AB426" s="2019"/>
      <c r="AC426" s="2019"/>
      <c r="AD426" s="2019"/>
      <c r="AE426" s="2019"/>
      <c r="AF426" s="628"/>
      <c r="AG426" s="628"/>
      <c r="AH426" s="628"/>
      <c r="AI426" s="628"/>
      <c r="AJ426" s="628"/>
      <c r="AK426" s="628"/>
      <c r="AL426" s="784"/>
      <c r="AM426" s="604"/>
      <c r="AN426" s="631"/>
    </row>
    <row r="427" spans="1:60" s="584" customFormat="1" ht="12.75" customHeight="1">
      <c r="A427" s="570"/>
      <c r="B427" s="14"/>
      <c r="C427" s="785"/>
      <c r="D427" s="764"/>
      <c r="E427" s="753"/>
      <c r="F427" s="2019"/>
      <c r="G427" s="2019"/>
      <c r="H427" s="2019"/>
      <c r="I427" s="2019"/>
      <c r="J427" s="2019"/>
      <c r="K427" s="2019"/>
      <c r="L427" s="2019"/>
      <c r="M427" s="2019"/>
      <c r="N427" s="2019"/>
      <c r="O427" s="2019"/>
      <c r="P427" s="2019"/>
      <c r="Q427" s="2019"/>
      <c r="R427" s="2019"/>
      <c r="S427" s="2019"/>
      <c r="T427" s="2019"/>
      <c r="U427" s="2019"/>
      <c r="V427" s="2019"/>
      <c r="W427" s="2019"/>
      <c r="X427" s="2019"/>
      <c r="Y427" s="2019"/>
      <c r="Z427" s="2019"/>
      <c r="AA427" s="2019"/>
      <c r="AB427" s="2019"/>
      <c r="AC427" s="2019"/>
      <c r="AD427" s="2019"/>
      <c r="AE427" s="2019"/>
      <c r="AF427" s="628"/>
      <c r="AG427" s="628"/>
      <c r="AH427" s="628"/>
      <c r="AI427" s="628"/>
      <c r="AJ427" s="628"/>
      <c r="AK427" s="628"/>
      <c r="AL427" s="784"/>
      <c r="AM427" s="604"/>
      <c r="AN427" s="631"/>
    </row>
    <row r="428" spans="1:60" s="584" customFormat="1" ht="12.75" customHeight="1">
      <c r="A428" s="570"/>
      <c r="B428" s="14"/>
      <c r="C428" s="785"/>
      <c r="D428" s="764"/>
      <c r="E428" s="753"/>
      <c r="F428" s="2019"/>
      <c r="G428" s="2019"/>
      <c r="H428" s="2019"/>
      <c r="I428" s="2019"/>
      <c r="J428" s="2019"/>
      <c r="K428" s="2019"/>
      <c r="L428" s="2019"/>
      <c r="M428" s="2019"/>
      <c r="N428" s="2019"/>
      <c r="O428" s="2019"/>
      <c r="P428" s="2019"/>
      <c r="Q428" s="2019"/>
      <c r="R428" s="2019"/>
      <c r="S428" s="2019"/>
      <c r="T428" s="2019"/>
      <c r="U428" s="2019"/>
      <c r="V428" s="2019"/>
      <c r="W428" s="2019"/>
      <c r="X428" s="2019"/>
      <c r="Y428" s="2019"/>
      <c r="Z428" s="2019"/>
      <c r="AA428" s="2019"/>
      <c r="AB428" s="2019"/>
      <c r="AC428" s="2019"/>
      <c r="AD428" s="2019"/>
      <c r="AE428" s="2019"/>
      <c r="AF428" s="628"/>
      <c r="AG428" s="628"/>
      <c r="AH428" s="628"/>
      <c r="AI428" s="628"/>
      <c r="AJ428" s="628"/>
      <c r="AK428" s="628"/>
      <c r="AL428" s="784"/>
      <c r="AM428" s="604"/>
      <c r="AN428" s="631"/>
    </row>
    <row r="429" spans="1:60" s="584" customFormat="1" ht="12.75" customHeight="1">
      <c r="A429" s="570"/>
      <c r="B429" s="14"/>
      <c r="C429" s="785"/>
      <c r="D429" s="764"/>
      <c r="E429" s="753"/>
      <c r="F429" s="2019"/>
      <c r="G429" s="2019"/>
      <c r="H429" s="2019"/>
      <c r="I429" s="2019"/>
      <c r="J429" s="2019"/>
      <c r="K429" s="2019"/>
      <c r="L429" s="2019"/>
      <c r="M429" s="2019"/>
      <c r="N429" s="2019"/>
      <c r="O429" s="2019"/>
      <c r="P429" s="2019"/>
      <c r="Q429" s="2019"/>
      <c r="R429" s="2019"/>
      <c r="S429" s="2019"/>
      <c r="T429" s="2019"/>
      <c r="U429" s="2019"/>
      <c r="V429" s="2019"/>
      <c r="W429" s="2019"/>
      <c r="X429" s="2019"/>
      <c r="Y429" s="2019"/>
      <c r="Z429" s="2019"/>
      <c r="AA429" s="2019"/>
      <c r="AB429" s="2019"/>
      <c r="AC429" s="2019"/>
      <c r="AD429" s="2019"/>
      <c r="AE429" s="2019"/>
      <c r="AF429" s="628"/>
      <c r="AG429" s="628"/>
      <c r="AH429" s="628"/>
      <c r="AI429" s="628"/>
      <c r="AJ429" s="628"/>
      <c r="AK429" s="628"/>
      <c r="AL429" s="784"/>
      <c r="AM429" s="604"/>
      <c r="AN429" s="631"/>
    </row>
    <row r="430" spans="1:60" s="584" customFormat="1" ht="17.25" customHeight="1">
      <c r="A430" s="570"/>
      <c r="B430" s="14"/>
      <c r="C430" s="785"/>
      <c r="D430" s="764"/>
      <c r="E430" s="753"/>
      <c r="F430" s="2019"/>
      <c r="G430" s="2019"/>
      <c r="H430" s="2019"/>
      <c r="I430" s="2019"/>
      <c r="J430" s="2019"/>
      <c r="K430" s="2019"/>
      <c r="L430" s="2019"/>
      <c r="M430" s="2019"/>
      <c r="N430" s="2019"/>
      <c r="O430" s="2019"/>
      <c r="P430" s="2019"/>
      <c r="Q430" s="2019"/>
      <c r="R430" s="2019"/>
      <c r="S430" s="2019"/>
      <c r="T430" s="2019"/>
      <c r="U430" s="2019"/>
      <c r="V430" s="2019"/>
      <c r="W430" s="2019"/>
      <c r="X430" s="2019"/>
      <c r="Y430" s="2019"/>
      <c r="Z430" s="2019"/>
      <c r="AA430" s="2019"/>
      <c r="AB430" s="2019"/>
      <c r="AC430" s="2019"/>
      <c r="AD430" s="2019"/>
      <c r="AE430" s="2019"/>
      <c r="AL430" s="766"/>
      <c r="AM430" s="604"/>
      <c r="AN430" s="631"/>
    </row>
    <row r="431" spans="1:60" s="584" customFormat="1" ht="12.75" customHeight="1">
      <c r="A431" s="570"/>
      <c r="B431" s="14"/>
      <c r="C431" s="2015" t="s">
        <v>600</v>
      </c>
      <c r="D431" s="1972"/>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2" t="s">
        <v>1575</v>
      </c>
      <c r="AG431" s="1942"/>
      <c r="AH431" s="1942"/>
      <c r="AI431" s="1942"/>
      <c r="AJ431" s="1942"/>
      <c r="AK431" s="1942"/>
      <c r="AL431" s="202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8" t="s">
        <v>1601</v>
      </c>
      <c r="G434" s="2018"/>
      <c r="H434" s="2018"/>
      <c r="I434" s="2018"/>
      <c r="J434" s="2018"/>
      <c r="K434" s="2018"/>
      <c r="L434" s="2018"/>
      <c r="M434" s="2018"/>
      <c r="N434" s="2018"/>
      <c r="O434" s="2018"/>
      <c r="P434" s="2018"/>
      <c r="Q434" s="2018"/>
      <c r="R434" s="2018"/>
      <c r="S434" s="2018"/>
      <c r="T434" s="2018"/>
      <c r="U434" s="2018"/>
      <c r="V434" s="2018"/>
      <c r="W434" s="2018"/>
      <c r="X434" s="2018"/>
      <c r="Y434" s="2018"/>
      <c r="Z434" s="2018"/>
      <c r="AA434" s="2018"/>
      <c r="AB434" s="2018"/>
      <c r="AC434" s="2018"/>
      <c r="AD434" s="2018"/>
      <c r="AE434" s="2018"/>
      <c r="AF434" s="748"/>
      <c r="AG434" s="748"/>
      <c r="AH434" s="748"/>
      <c r="AI434" s="748"/>
      <c r="AJ434" s="748"/>
      <c r="AK434" s="748"/>
      <c r="AL434" s="779"/>
      <c r="AM434" s="604"/>
      <c r="AN434" s="631"/>
    </row>
    <row r="435" spans="1:40" s="584" customFormat="1" ht="12.75" customHeight="1">
      <c r="A435" s="570"/>
      <c r="B435" s="14"/>
      <c r="C435" s="785"/>
      <c r="D435" s="764"/>
      <c r="E435" s="753"/>
      <c r="F435" s="2019"/>
      <c r="G435" s="2019"/>
      <c r="H435" s="2019"/>
      <c r="I435" s="2019"/>
      <c r="J435" s="2019"/>
      <c r="K435" s="2019"/>
      <c r="L435" s="2019"/>
      <c r="M435" s="2019"/>
      <c r="N435" s="2019"/>
      <c r="O435" s="2019"/>
      <c r="P435" s="2019"/>
      <c r="Q435" s="2019"/>
      <c r="R435" s="2019"/>
      <c r="S435" s="2019"/>
      <c r="T435" s="2019"/>
      <c r="U435" s="2019"/>
      <c r="V435" s="2019"/>
      <c r="W435" s="2019"/>
      <c r="X435" s="2019"/>
      <c r="Y435" s="2019"/>
      <c r="Z435" s="2019"/>
      <c r="AA435" s="2019"/>
      <c r="AB435" s="2019"/>
      <c r="AC435" s="2019"/>
      <c r="AD435" s="2019"/>
      <c r="AE435" s="2019"/>
      <c r="AF435" s="625"/>
      <c r="AG435" s="625"/>
      <c r="AH435" s="625"/>
      <c r="AI435" s="625"/>
      <c r="AJ435" s="625"/>
      <c r="AK435" s="625"/>
      <c r="AL435" s="754"/>
      <c r="AM435" s="604"/>
      <c r="AN435" s="631"/>
    </row>
    <row r="436" spans="1:40" s="584" customFormat="1" ht="12.75" customHeight="1">
      <c r="A436" s="570"/>
      <c r="B436" s="14"/>
      <c r="C436" s="785"/>
      <c r="D436" s="764"/>
      <c r="E436" s="753"/>
      <c r="F436" s="2019"/>
      <c r="G436" s="2019"/>
      <c r="H436" s="2019"/>
      <c r="I436" s="2019"/>
      <c r="J436" s="2019"/>
      <c r="K436" s="2019"/>
      <c r="L436" s="2019"/>
      <c r="M436" s="2019"/>
      <c r="N436" s="2019"/>
      <c r="O436" s="2019"/>
      <c r="P436" s="2019"/>
      <c r="Q436" s="2019"/>
      <c r="R436" s="2019"/>
      <c r="S436" s="2019"/>
      <c r="T436" s="2019"/>
      <c r="U436" s="2019"/>
      <c r="V436" s="2019"/>
      <c r="W436" s="2019"/>
      <c r="X436" s="2019"/>
      <c r="Y436" s="2019"/>
      <c r="Z436" s="2019"/>
      <c r="AA436" s="2019"/>
      <c r="AB436" s="2019"/>
      <c r="AC436" s="2019"/>
      <c r="AD436" s="2019"/>
      <c r="AE436" s="2019"/>
      <c r="AF436" s="625"/>
      <c r="AG436" s="625"/>
      <c r="AH436" s="625"/>
      <c r="AI436" s="625"/>
      <c r="AJ436" s="625"/>
      <c r="AK436" s="625"/>
      <c r="AL436" s="754"/>
      <c r="AM436" s="604"/>
      <c r="AN436" s="631"/>
    </row>
    <row r="437" spans="1:40" s="584" customFormat="1" ht="12.75" customHeight="1">
      <c r="A437" s="570"/>
      <c r="B437" s="14"/>
      <c r="C437" s="785"/>
      <c r="D437" s="764"/>
      <c r="E437" s="753"/>
      <c r="F437" s="2019"/>
      <c r="G437" s="2019"/>
      <c r="H437" s="2019"/>
      <c r="I437" s="2019"/>
      <c r="J437" s="2019"/>
      <c r="K437" s="2019"/>
      <c r="L437" s="2019"/>
      <c r="M437" s="2019"/>
      <c r="N437" s="2019"/>
      <c r="O437" s="2019"/>
      <c r="P437" s="2019"/>
      <c r="Q437" s="2019"/>
      <c r="R437" s="2019"/>
      <c r="S437" s="2019"/>
      <c r="T437" s="2019"/>
      <c r="U437" s="2019"/>
      <c r="V437" s="2019"/>
      <c r="W437" s="2019"/>
      <c r="X437" s="2019"/>
      <c r="Y437" s="2019"/>
      <c r="Z437" s="2019"/>
      <c r="AA437" s="2019"/>
      <c r="AB437" s="2019"/>
      <c r="AC437" s="2019"/>
      <c r="AD437" s="2019"/>
      <c r="AE437" s="2019"/>
      <c r="AL437" s="766"/>
      <c r="AM437" s="604"/>
      <c r="AN437" s="631"/>
    </row>
    <row r="438" spans="1:40" s="584" customFormat="1" ht="12.75" customHeight="1">
      <c r="A438" s="570"/>
      <c r="B438" s="14"/>
      <c r="C438" s="2015" t="s">
        <v>600</v>
      </c>
      <c r="D438" s="1972"/>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2" t="s">
        <v>1575</v>
      </c>
      <c r="AG438" s="1942"/>
      <c r="AH438" s="1942"/>
      <c r="AI438" s="1942"/>
      <c r="AJ438" s="1942"/>
      <c r="AK438" s="1942"/>
      <c r="AL438" s="202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1" t="s">
        <v>600</v>
      </c>
      <c r="D442" s="2022"/>
      <c r="E442" s="749" t="s">
        <v>1610</v>
      </c>
      <c r="F442" s="2018" t="s">
        <v>1611</v>
      </c>
      <c r="G442" s="2018"/>
      <c r="H442" s="2018"/>
      <c r="I442" s="2018"/>
      <c r="J442" s="2018"/>
      <c r="K442" s="2018"/>
      <c r="L442" s="2018"/>
      <c r="M442" s="2018"/>
      <c r="N442" s="2018"/>
      <c r="O442" s="2018"/>
      <c r="P442" s="2018"/>
      <c r="Q442" s="2018"/>
      <c r="R442" s="2018"/>
      <c r="S442" s="2018"/>
      <c r="T442" s="2018"/>
      <c r="U442" s="2018"/>
      <c r="V442" s="2018"/>
      <c r="W442" s="2018"/>
      <c r="X442" s="2018"/>
      <c r="Y442" s="2018"/>
      <c r="Z442" s="2018"/>
      <c r="AA442" s="2018"/>
      <c r="AB442" s="2018"/>
      <c r="AC442" s="2018"/>
      <c r="AD442" s="2018"/>
      <c r="AE442" s="2018"/>
      <c r="AF442" s="2039" t="s">
        <v>1575</v>
      </c>
      <c r="AG442" s="2039"/>
      <c r="AH442" s="2039"/>
      <c r="AI442" s="2039"/>
      <c r="AJ442" s="2039"/>
      <c r="AK442" s="2039"/>
      <c r="AL442" s="2040"/>
      <c r="AM442" s="604"/>
      <c r="AN442" s="787"/>
    </row>
    <row r="443" spans="1:40" s="584" customFormat="1" ht="12.75" customHeight="1">
      <c r="A443" s="570"/>
      <c r="B443" s="14"/>
      <c r="C443" s="785"/>
      <c r="D443" s="764"/>
      <c r="E443" s="753"/>
      <c r="F443" s="2019"/>
      <c r="G443" s="2019"/>
      <c r="H443" s="2019"/>
      <c r="I443" s="2019"/>
      <c r="J443" s="2019"/>
      <c r="K443" s="2019"/>
      <c r="L443" s="2019"/>
      <c r="M443" s="2019"/>
      <c r="N443" s="2019"/>
      <c r="O443" s="2019"/>
      <c r="P443" s="2019"/>
      <c r="Q443" s="2019"/>
      <c r="R443" s="2019"/>
      <c r="S443" s="2019"/>
      <c r="T443" s="2019"/>
      <c r="U443" s="2019"/>
      <c r="V443" s="2019"/>
      <c r="W443" s="2019"/>
      <c r="X443" s="2019"/>
      <c r="Y443" s="2019"/>
      <c r="Z443" s="2019"/>
      <c r="AA443" s="2019"/>
      <c r="AB443" s="2019"/>
      <c r="AC443" s="2019"/>
      <c r="AD443" s="2019"/>
      <c r="AE443" s="2019"/>
      <c r="AF443" s="625"/>
      <c r="AG443" s="625"/>
      <c r="AH443" s="625"/>
      <c r="AI443" s="625"/>
      <c r="AJ443" s="625"/>
      <c r="AK443" s="625"/>
      <c r="AL443" s="754"/>
      <c r="AM443" s="604"/>
      <c r="AN443" s="788"/>
    </row>
    <row r="444" spans="1:40" s="584" customFormat="1" ht="17.649999999999999" customHeight="1">
      <c r="A444" s="570"/>
      <c r="B444" s="14"/>
      <c r="C444" s="790"/>
      <c r="D444" s="757"/>
      <c r="E444" s="758"/>
      <c r="F444" s="2038"/>
      <c r="G444" s="2038"/>
      <c r="H444" s="2038"/>
      <c r="I444" s="2038"/>
      <c r="J444" s="2038"/>
      <c r="K444" s="2038"/>
      <c r="L444" s="2038"/>
      <c r="M444" s="2038"/>
      <c r="N444" s="2038"/>
      <c r="O444" s="2038"/>
      <c r="P444" s="2038"/>
      <c r="Q444" s="2038"/>
      <c r="R444" s="2038"/>
      <c r="S444" s="2038"/>
      <c r="T444" s="2038"/>
      <c r="U444" s="2038"/>
      <c r="V444" s="2038"/>
      <c r="W444" s="2038"/>
      <c r="X444" s="2038"/>
      <c r="Y444" s="2038"/>
      <c r="Z444" s="2038"/>
      <c r="AA444" s="2038"/>
      <c r="AB444" s="2038"/>
      <c r="AC444" s="2038"/>
      <c r="AD444" s="2038"/>
      <c r="AE444" s="203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5" t="s">
        <v>600</v>
      </c>
      <c r="D446" s="1972"/>
      <c r="E446" s="749" t="s">
        <v>1616</v>
      </c>
      <c r="F446" s="2018" t="s">
        <v>1617</v>
      </c>
      <c r="G446" s="2018"/>
      <c r="H446" s="2018"/>
      <c r="I446" s="2018"/>
      <c r="J446" s="2018"/>
      <c r="K446" s="2018"/>
      <c r="L446" s="2018"/>
      <c r="M446" s="2018"/>
      <c r="N446" s="2018"/>
      <c r="O446" s="2018"/>
      <c r="P446" s="2018"/>
      <c r="Q446" s="2018"/>
      <c r="R446" s="2018"/>
      <c r="S446" s="2018"/>
      <c r="T446" s="2018"/>
      <c r="U446" s="2018"/>
      <c r="V446" s="2018"/>
      <c r="W446" s="2018"/>
      <c r="X446" s="2018"/>
      <c r="Y446" s="2018"/>
      <c r="Z446" s="2018"/>
      <c r="AA446" s="2018"/>
      <c r="AB446" s="2018"/>
      <c r="AC446" s="2018"/>
      <c r="AD446" s="2018"/>
      <c r="AE446" s="2018"/>
      <c r="AF446" s="2039" t="s">
        <v>1575</v>
      </c>
      <c r="AG446" s="2039"/>
      <c r="AH446" s="2039"/>
      <c r="AI446" s="2039"/>
      <c r="AJ446" s="2039"/>
      <c r="AK446" s="2039"/>
      <c r="AL446" s="2040"/>
      <c r="AM446" s="604"/>
      <c r="AN446" s="569"/>
    </row>
    <row r="447" spans="1:40" s="584" customFormat="1" ht="12.75" customHeight="1">
      <c r="A447" s="570"/>
      <c r="B447" s="14"/>
      <c r="C447" s="765"/>
      <c r="D447" s="14"/>
      <c r="E447" s="725"/>
      <c r="F447" s="2019"/>
      <c r="G447" s="2019"/>
      <c r="H447" s="2019"/>
      <c r="I447" s="2019"/>
      <c r="J447" s="2019"/>
      <c r="K447" s="2019"/>
      <c r="L447" s="2019"/>
      <c r="M447" s="2019"/>
      <c r="N447" s="2019"/>
      <c r="O447" s="2019"/>
      <c r="P447" s="2019"/>
      <c r="Q447" s="2019"/>
      <c r="R447" s="2019"/>
      <c r="S447" s="2019"/>
      <c r="T447" s="2019"/>
      <c r="U447" s="2019"/>
      <c r="V447" s="2019"/>
      <c r="W447" s="2019"/>
      <c r="X447" s="2019"/>
      <c r="Y447" s="2019"/>
      <c r="Z447" s="2019"/>
      <c r="AA447" s="2019"/>
      <c r="AB447" s="2019"/>
      <c r="AC447" s="2019"/>
      <c r="AD447" s="2019"/>
      <c r="AE447" s="2019"/>
      <c r="AF447" s="573"/>
      <c r="AG447" s="570"/>
      <c r="AL447" s="766"/>
      <c r="AM447" s="604"/>
      <c r="AN447" s="569"/>
    </row>
    <row r="448" spans="1:40" s="584" customFormat="1" ht="12.75" customHeight="1">
      <c r="A448" s="570"/>
      <c r="B448" s="14"/>
      <c r="C448" s="765"/>
      <c r="D448" s="14"/>
      <c r="E448" s="725"/>
      <c r="F448" s="2019"/>
      <c r="G448" s="2019"/>
      <c r="H448" s="2019"/>
      <c r="I448" s="2019"/>
      <c r="J448" s="2019"/>
      <c r="K448" s="2019"/>
      <c r="L448" s="2019"/>
      <c r="M448" s="2019"/>
      <c r="N448" s="2019"/>
      <c r="O448" s="2019"/>
      <c r="P448" s="2019"/>
      <c r="Q448" s="2019"/>
      <c r="R448" s="2019"/>
      <c r="S448" s="2019"/>
      <c r="T448" s="2019"/>
      <c r="U448" s="2019"/>
      <c r="V448" s="2019"/>
      <c r="W448" s="2019"/>
      <c r="X448" s="2019"/>
      <c r="Y448" s="2019"/>
      <c r="Z448" s="2019"/>
      <c r="AA448" s="2019"/>
      <c r="AB448" s="2019"/>
      <c r="AC448" s="2019"/>
      <c r="AD448" s="2019"/>
      <c r="AE448" s="2019"/>
      <c r="AF448" s="573"/>
      <c r="AG448" s="570"/>
      <c r="AL448" s="766"/>
      <c r="AM448" s="604"/>
      <c r="AN448" s="569"/>
    </row>
    <row r="449" spans="1:48" s="584" customFormat="1" ht="12.75" customHeight="1">
      <c r="A449" s="570"/>
      <c r="B449" s="14"/>
      <c r="C449" s="790"/>
      <c r="D449" s="757"/>
      <c r="E449" s="758"/>
      <c r="F449" s="2038"/>
      <c r="G449" s="2038"/>
      <c r="H449" s="2038"/>
      <c r="I449" s="2038"/>
      <c r="J449" s="2038"/>
      <c r="K449" s="2038"/>
      <c r="L449" s="2038"/>
      <c r="M449" s="2038"/>
      <c r="N449" s="2038"/>
      <c r="O449" s="2038"/>
      <c r="P449" s="2038"/>
      <c r="Q449" s="2038"/>
      <c r="R449" s="2038"/>
      <c r="S449" s="2038"/>
      <c r="T449" s="2038"/>
      <c r="U449" s="2038"/>
      <c r="V449" s="2038"/>
      <c r="W449" s="2038"/>
      <c r="X449" s="2038"/>
      <c r="Y449" s="2038"/>
      <c r="Z449" s="2038"/>
      <c r="AA449" s="2038"/>
      <c r="AB449" s="2038"/>
      <c r="AC449" s="2038"/>
      <c r="AD449" s="2038"/>
      <c r="AE449" s="203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8" t="s">
        <v>1620</v>
      </c>
      <c r="G451" s="2018"/>
      <c r="H451" s="2018"/>
      <c r="I451" s="2018"/>
      <c r="J451" s="2018"/>
      <c r="K451" s="2018"/>
      <c r="L451" s="2018"/>
      <c r="M451" s="2018"/>
      <c r="N451" s="2018"/>
      <c r="O451" s="2018"/>
      <c r="P451" s="2018"/>
      <c r="Q451" s="2018"/>
      <c r="R451" s="2018"/>
      <c r="S451" s="2018"/>
      <c r="T451" s="2018"/>
      <c r="U451" s="2018"/>
      <c r="V451" s="2018"/>
      <c r="W451" s="2018"/>
      <c r="X451" s="2018"/>
      <c r="Y451" s="2018"/>
      <c r="Z451" s="2018"/>
      <c r="AA451" s="2018"/>
      <c r="AB451" s="2018"/>
      <c r="AC451" s="2018"/>
      <c r="AD451" s="2018"/>
      <c r="AE451" s="2018"/>
      <c r="AF451" s="2018"/>
      <c r="AG451" s="778"/>
      <c r="AH451" s="748"/>
      <c r="AI451" s="748"/>
      <c r="AJ451" s="748"/>
      <c r="AK451" s="748"/>
      <c r="AL451" s="779"/>
      <c r="AM451" s="604"/>
      <c r="AN451" s="631"/>
    </row>
    <row r="452" spans="1:48" s="584" customFormat="1" ht="12.75" customHeight="1">
      <c r="A452" s="570"/>
      <c r="B452" s="14"/>
      <c r="C452" s="765"/>
      <c r="D452" s="14"/>
      <c r="E452" s="725"/>
      <c r="F452" s="2019"/>
      <c r="G452" s="2019"/>
      <c r="H452" s="2019"/>
      <c r="I452" s="2019"/>
      <c r="J452" s="2019"/>
      <c r="K452" s="2019"/>
      <c r="L452" s="2019"/>
      <c r="M452" s="2019"/>
      <c r="N452" s="2019"/>
      <c r="O452" s="2019"/>
      <c r="P452" s="2019"/>
      <c r="Q452" s="2019"/>
      <c r="R452" s="2019"/>
      <c r="S452" s="2019"/>
      <c r="T452" s="2019"/>
      <c r="U452" s="2019"/>
      <c r="V452" s="2019"/>
      <c r="W452" s="2019"/>
      <c r="X452" s="2019"/>
      <c r="Y452" s="2019"/>
      <c r="Z452" s="2019"/>
      <c r="AA452" s="2019"/>
      <c r="AB452" s="2019"/>
      <c r="AC452" s="2019"/>
      <c r="AD452" s="2019"/>
      <c r="AE452" s="2019"/>
      <c r="AF452" s="2019"/>
      <c r="AL452" s="766"/>
      <c r="AM452" s="604"/>
      <c r="AN452" s="631"/>
    </row>
    <row r="453" spans="1:48" s="584" customFormat="1" ht="12.75" customHeight="1">
      <c r="A453" s="570"/>
      <c r="B453" s="14"/>
      <c r="C453" s="773"/>
      <c r="F453" s="2019"/>
      <c r="G453" s="2019"/>
      <c r="H453" s="2019"/>
      <c r="I453" s="2019"/>
      <c r="J453" s="2019"/>
      <c r="K453" s="2019"/>
      <c r="L453" s="2019"/>
      <c r="M453" s="2019"/>
      <c r="N453" s="2019"/>
      <c r="O453" s="2019"/>
      <c r="P453" s="2019"/>
      <c r="Q453" s="2019"/>
      <c r="R453" s="2019"/>
      <c r="S453" s="2019"/>
      <c r="T453" s="2019"/>
      <c r="U453" s="2019"/>
      <c r="V453" s="2019"/>
      <c r="W453" s="2019"/>
      <c r="X453" s="2019"/>
      <c r="Y453" s="2019"/>
      <c r="Z453" s="2019"/>
      <c r="AA453" s="2019"/>
      <c r="AB453" s="2019"/>
      <c r="AC453" s="2019"/>
      <c r="AD453" s="2019"/>
      <c r="AE453" s="2019"/>
      <c r="AF453" s="2019"/>
      <c r="AL453" s="766"/>
      <c r="AM453" s="604"/>
      <c r="AN453" s="631"/>
    </row>
    <row r="454" spans="1:48" s="584" customFormat="1" ht="12.75" customHeight="1">
      <c r="A454" s="570"/>
      <c r="B454" s="14"/>
      <c r="C454" s="773"/>
      <c r="F454" s="2019"/>
      <c r="G454" s="2019"/>
      <c r="H454" s="2019"/>
      <c r="I454" s="2019"/>
      <c r="J454" s="2019"/>
      <c r="K454" s="2019"/>
      <c r="L454" s="2019"/>
      <c r="M454" s="2019"/>
      <c r="N454" s="2019"/>
      <c r="O454" s="2019"/>
      <c r="P454" s="2019"/>
      <c r="Q454" s="2019"/>
      <c r="R454" s="2019"/>
      <c r="S454" s="2019"/>
      <c r="T454" s="2019"/>
      <c r="U454" s="2019"/>
      <c r="V454" s="2019"/>
      <c r="W454" s="2019"/>
      <c r="X454" s="2019"/>
      <c r="Y454" s="2019"/>
      <c r="Z454" s="2019"/>
      <c r="AA454" s="2019"/>
      <c r="AB454" s="2019"/>
      <c r="AC454" s="2019"/>
      <c r="AD454" s="2019"/>
      <c r="AE454" s="2019"/>
      <c r="AF454" s="2019"/>
      <c r="AL454" s="766"/>
      <c r="AM454" s="604"/>
      <c r="AN454" s="631"/>
    </row>
    <row r="455" spans="1:48" s="584" customFormat="1" ht="12.75" customHeight="1">
      <c r="A455" s="570"/>
      <c r="B455" s="14"/>
      <c r="C455" s="2015" t="s">
        <v>600</v>
      </c>
      <c r="D455" s="1972"/>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6" t="s">
        <v>1575</v>
      </c>
      <c r="AG455" s="2016"/>
      <c r="AH455" s="2016"/>
      <c r="AI455" s="2016"/>
      <c r="AJ455" s="2016"/>
      <c r="AK455" s="2016"/>
      <c r="AL455" s="201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5">
        <f>IF(Application!D214="N/A",AS347,AS349)</f>
        <v>10</v>
      </c>
      <c r="AL458" s="1976"/>
      <c r="AM458" s="197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6" t="s">
        <v>1624</v>
      </c>
      <c r="AF461" s="2016"/>
      <c r="AG461" s="2016"/>
      <c r="AH461" s="2016"/>
      <c r="AI461" s="2016"/>
      <c r="AJ461" s="2016"/>
      <c r="AK461" s="2016"/>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41" t="s">
        <v>600</v>
      </c>
      <c r="D467" s="2042"/>
      <c r="E467" s="795" t="s">
        <v>516</v>
      </c>
      <c r="F467" s="2043" t="s">
        <v>1630</v>
      </c>
      <c r="G467" s="2043"/>
      <c r="H467" s="2043"/>
      <c r="I467" s="2043"/>
      <c r="J467" s="2043"/>
      <c r="K467" s="2043"/>
      <c r="L467" s="2043"/>
      <c r="M467" s="2043"/>
      <c r="N467" s="2043"/>
      <c r="O467" s="2043"/>
      <c r="P467" s="2043"/>
      <c r="Q467" s="2043"/>
      <c r="R467" s="2043"/>
      <c r="S467" s="2043"/>
      <c r="T467" s="2043"/>
      <c r="U467" s="2043"/>
      <c r="V467" s="2043"/>
      <c r="W467" s="2043"/>
      <c r="X467" s="2043"/>
      <c r="Y467" s="2043"/>
      <c r="Z467" s="2043"/>
      <c r="AA467" s="2043"/>
      <c r="AB467" s="2043"/>
      <c r="AC467" s="2043"/>
      <c r="AD467" s="2043"/>
      <c r="AE467" s="2043"/>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4"/>
      <c r="G468" s="2044"/>
      <c r="H468" s="2044"/>
      <c r="I468" s="2044"/>
      <c r="J468" s="2044"/>
      <c r="K468" s="2044"/>
      <c r="L468" s="2044"/>
      <c r="M468" s="2044"/>
      <c r="N468" s="2044"/>
      <c r="O468" s="2044"/>
      <c r="P468" s="2044"/>
      <c r="Q468" s="2044"/>
      <c r="R468" s="2044"/>
      <c r="S468" s="2044"/>
      <c r="T468" s="2044"/>
      <c r="U468" s="2044"/>
      <c r="V468" s="2044"/>
      <c r="W468" s="2044"/>
      <c r="X468" s="2044"/>
      <c r="Y468" s="2044"/>
      <c r="Z468" s="2044"/>
      <c r="AA468" s="2044"/>
      <c r="AB468" s="2044"/>
      <c r="AC468" s="2044"/>
      <c r="AD468" s="2044"/>
      <c r="AE468" s="2044"/>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5" t="s">
        <v>600</v>
      </c>
      <c r="G469" s="2045"/>
      <c r="H469" s="2045"/>
      <c r="I469" s="2045"/>
      <c r="J469" s="2045"/>
      <c r="K469" s="2045"/>
      <c r="L469" s="2045"/>
      <c r="M469" s="2045"/>
      <c r="N469" s="2045"/>
      <c r="O469" s="2045"/>
      <c r="P469" s="2045"/>
      <c r="Q469" s="2045"/>
      <c r="R469" s="2045"/>
      <c r="S469" s="2045"/>
      <c r="T469" s="2045"/>
      <c r="U469" s="2045"/>
      <c r="V469" s="2045"/>
      <c r="W469" s="2045"/>
      <c r="X469" s="2045"/>
      <c r="Y469" s="2045"/>
      <c r="Z469" s="2045"/>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6" t="s">
        <v>554</v>
      </c>
      <c r="D471" s="2047"/>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3" t="s">
        <v>600</v>
      </c>
      <c r="W474" s="2053"/>
      <c r="X474" s="2053"/>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3" t="s">
        <v>600</v>
      </c>
      <c r="W476" s="2053"/>
      <c r="X476" s="2053"/>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3" t="s">
        <v>600</v>
      </c>
      <c r="W481" s="2053"/>
      <c r="X481" s="2053"/>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52"/>
      <c r="E484" s="2052"/>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3" t="s">
        <v>600</v>
      </c>
      <c r="W485" s="2053"/>
      <c r="X485" s="2053"/>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3" t="s">
        <v>600</v>
      </c>
      <c r="W487" s="2053"/>
      <c r="X487" s="2053"/>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1" t="s">
        <v>600</v>
      </c>
      <c r="D490" s="2042"/>
      <c r="E490" s="795" t="s">
        <v>516</v>
      </c>
      <c r="F490" s="2043" t="s">
        <v>1630</v>
      </c>
      <c r="G490" s="2043"/>
      <c r="H490" s="2043"/>
      <c r="I490" s="2043"/>
      <c r="J490" s="2043"/>
      <c r="K490" s="2043"/>
      <c r="L490" s="2043"/>
      <c r="M490" s="2043"/>
      <c r="N490" s="2043"/>
      <c r="O490" s="2043"/>
      <c r="P490" s="2043"/>
      <c r="Q490" s="2043"/>
      <c r="R490" s="2043"/>
      <c r="S490" s="2043"/>
      <c r="T490" s="2043"/>
      <c r="U490" s="2043"/>
      <c r="V490" s="2043"/>
      <c r="W490" s="2043"/>
      <c r="X490" s="2043"/>
      <c r="Y490" s="2043"/>
      <c r="Z490" s="2043"/>
      <c r="AA490" s="2043"/>
      <c r="AB490" s="2043"/>
      <c r="AC490" s="2043"/>
      <c r="AD490" s="2043"/>
      <c r="AE490" s="204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4"/>
      <c r="G491" s="2044"/>
      <c r="H491" s="2044"/>
      <c r="I491" s="2044"/>
      <c r="J491" s="2044"/>
      <c r="K491" s="2044"/>
      <c r="L491" s="2044"/>
      <c r="M491" s="2044"/>
      <c r="N491" s="2044"/>
      <c r="O491" s="2044"/>
      <c r="P491" s="2044"/>
      <c r="Q491" s="2044"/>
      <c r="R491" s="2044"/>
      <c r="S491" s="2044"/>
      <c r="T491" s="2044"/>
      <c r="U491" s="2044"/>
      <c r="V491" s="2044"/>
      <c r="W491" s="2044"/>
      <c r="X491" s="2044"/>
      <c r="Y491" s="2044"/>
      <c r="Z491" s="2044"/>
      <c r="AA491" s="2044"/>
      <c r="AB491" s="2044"/>
      <c r="AC491" s="2044"/>
      <c r="AD491" s="2044"/>
      <c r="AE491" s="204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8" t="s">
        <v>600</v>
      </c>
      <c r="G492" s="2048"/>
      <c r="H492" s="2048"/>
      <c r="I492" s="2048"/>
      <c r="J492" s="2048"/>
      <c r="K492" s="2048"/>
      <c r="L492" s="2048"/>
      <c r="M492" s="2048"/>
      <c r="N492" s="2048"/>
      <c r="O492" s="2048"/>
      <c r="P492" s="2048"/>
      <c r="Q492" s="2048"/>
      <c r="R492" s="2048"/>
      <c r="S492" s="2048"/>
      <c r="T492" s="2048"/>
      <c r="U492" s="2048"/>
      <c r="V492" s="2048"/>
      <c r="W492" s="2048"/>
      <c r="X492" s="2048"/>
      <c r="Y492" s="2048"/>
      <c r="Z492" s="2048"/>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1" t="s">
        <v>600</v>
      </c>
      <c r="D494" s="2042"/>
      <c r="E494" s="795" t="s">
        <v>767</v>
      </c>
      <c r="F494" s="2049" t="s">
        <v>1652</v>
      </c>
      <c r="G494" s="2049"/>
      <c r="H494" s="2049"/>
      <c r="I494" s="2049"/>
      <c r="J494" s="2049"/>
      <c r="K494" s="2049"/>
      <c r="L494" s="2049"/>
      <c r="M494" s="2049"/>
      <c r="N494" s="2049"/>
      <c r="O494" s="2049"/>
      <c r="P494" s="2049"/>
      <c r="Q494" s="2049"/>
      <c r="R494" s="2049"/>
      <c r="S494" s="2049"/>
      <c r="T494" s="2049"/>
      <c r="U494" s="2049"/>
      <c r="V494" s="2049"/>
      <c r="W494" s="2049"/>
      <c r="X494" s="2049"/>
      <c r="Y494" s="2049"/>
      <c r="Z494" s="2049"/>
      <c r="AA494" s="2049"/>
      <c r="AB494" s="2049"/>
      <c r="AC494" s="2049"/>
      <c r="AD494" s="2049"/>
      <c r="AE494" s="204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0"/>
      <c r="G495" s="2050"/>
      <c r="H495" s="2050"/>
      <c r="I495" s="2050"/>
      <c r="J495" s="2050"/>
      <c r="K495" s="2050"/>
      <c r="L495" s="2050"/>
      <c r="M495" s="2050"/>
      <c r="N495" s="2050"/>
      <c r="O495" s="2050"/>
      <c r="P495" s="2050"/>
      <c r="Q495" s="2050"/>
      <c r="R495" s="2050"/>
      <c r="S495" s="2050"/>
      <c r="T495" s="2050"/>
      <c r="U495" s="2050"/>
      <c r="V495" s="2050"/>
      <c r="W495" s="2050"/>
      <c r="X495" s="2050"/>
      <c r="Y495" s="2050"/>
      <c r="Z495" s="2050"/>
      <c r="AA495" s="2050"/>
      <c r="AB495" s="2050"/>
      <c r="AC495" s="2050"/>
      <c r="AD495" s="2050"/>
      <c r="AE495" s="205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1" t="s">
        <v>600</v>
      </c>
      <c r="G497" s="2051"/>
      <c r="H497" s="205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1" t="s">
        <v>600</v>
      </c>
      <c r="D499" s="2042"/>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4"/>
      <c r="D501" s="2052"/>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5" t="s">
        <v>600</v>
      </c>
      <c r="H502" s="2065"/>
      <c r="I502" s="2065"/>
      <c r="J502" s="2065"/>
      <c r="K502" s="2065"/>
      <c r="L502" s="2065"/>
      <c r="M502" s="2065"/>
      <c r="N502" s="2065"/>
      <c r="O502" s="2065"/>
      <c r="P502" s="2065"/>
      <c r="Q502" s="2065"/>
      <c r="R502" s="2065"/>
      <c r="S502" s="2065"/>
      <c r="T502" s="2065"/>
      <c r="U502" s="2065"/>
      <c r="V502" s="2065"/>
      <c r="W502" s="2065"/>
      <c r="X502" s="2065"/>
      <c r="Y502" s="2065"/>
      <c r="Z502" s="2065"/>
      <c r="AA502" s="2065"/>
      <c r="AB502" s="2065"/>
      <c r="AC502" s="2065"/>
      <c r="AD502" s="2065"/>
      <c r="AE502" s="2065"/>
      <c r="AF502" s="206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6" t="s">
        <v>600</v>
      </c>
      <c r="D504" s="2067"/>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6" t="s">
        <v>600</v>
      </c>
      <c r="D508" s="2067"/>
      <c r="F508" s="829" t="s">
        <v>1660</v>
      </c>
      <c r="G508" s="2019" t="s">
        <v>1661</v>
      </c>
      <c r="H508" s="2019"/>
      <c r="I508" s="2019"/>
      <c r="J508" s="2019"/>
      <c r="K508" s="2019"/>
      <c r="L508" s="2019"/>
      <c r="M508" s="2019"/>
      <c r="N508" s="2019"/>
      <c r="O508" s="2019"/>
      <c r="P508" s="2019"/>
      <c r="Q508" s="2019"/>
      <c r="R508" s="2019"/>
      <c r="S508" s="2019"/>
      <c r="T508" s="2019"/>
      <c r="U508" s="2019"/>
      <c r="V508" s="2019"/>
      <c r="W508" s="2019"/>
      <c r="X508" s="2019"/>
      <c r="Y508" s="2019"/>
      <c r="Z508" s="2019"/>
      <c r="AA508" s="2019"/>
      <c r="AB508" s="2019"/>
      <c r="AC508" s="2019"/>
      <c r="AD508" s="2019"/>
      <c r="AE508" s="2019"/>
      <c r="AF508" s="2019"/>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8"/>
      <c r="H509" s="2038"/>
      <c r="I509" s="2038"/>
      <c r="J509" s="2038"/>
      <c r="K509" s="2038"/>
      <c r="L509" s="2038"/>
      <c r="M509" s="2038"/>
      <c r="N509" s="2038"/>
      <c r="O509" s="2038"/>
      <c r="P509" s="2038"/>
      <c r="Q509" s="2038"/>
      <c r="R509" s="2038"/>
      <c r="S509" s="2038"/>
      <c r="T509" s="2038"/>
      <c r="U509" s="2038"/>
      <c r="V509" s="2038"/>
      <c r="W509" s="2038"/>
      <c r="X509" s="2038"/>
      <c r="Y509" s="2038"/>
      <c r="Z509" s="2038"/>
      <c r="AA509" s="2038"/>
      <c r="AB509" s="2038"/>
      <c r="AC509" s="2038"/>
      <c r="AD509" s="2038"/>
      <c r="AE509" s="2038"/>
      <c r="AF509" s="203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4" t="s">
        <v>600</v>
      </c>
      <c r="D512" s="2055"/>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6" t="s">
        <v>600</v>
      </c>
      <c r="G513" s="2056"/>
      <c r="H513" s="2056"/>
      <c r="I513" s="2056"/>
      <c r="J513" s="2056"/>
      <c r="K513" s="2056"/>
      <c r="L513" s="2056"/>
      <c r="M513" s="2056"/>
      <c r="N513" s="2056"/>
      <c r="O513" s="2056"/>
      <c r="P513" s="2056"/>
      <c r="Q513" s="2056"/>
      <c r="R513" s="2056"/>
      <c r="S513" s="2056"/>
      <c r="T513" s="2056"/>
      <c r="U513" s="2056"/>
      <c r="V513" s="2056"/>
      <c r="W513" s="2056"/>
      <c r="X513" s="2056"/>
      <c r="Y513" s="2056"/>
      <c r="Z513" s="2056"/>
      <c r="AA513" s="2056"/>
      <c r="AB513" s="2056"/>
      <c r="AC513" s="2056"/>
      <c r="AD513" s="2056"/>
      <c r="AE513" s="2056"/>
      <c r="AF513" s="205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7"/>
      <c r="G514" s="2057"/>
      <c r="H514" s="2057"/>
      <c r="I514" s="2057"/>
      <c r="J514" s="2057"/>
      <c r="K514" s="2057"/>
      <c r="L514" s="2057"/>
      <c r="M514" s="2057"/>
      <c r="N514" s="2057"/>
      <c r="O514" s="2057"/>
      <c r="P514" s="2057"/>
      <c r="Q514" s="2057"/>
      <c r="R514" s="2057"/>
      <c r="S514" s="2057"/>
      <c r="T514" s="2057"/>
      <c r="U514" s="2057"/>
      <c r="V514" s="2057"/>
      <c r="W514" s="2057"/>
      <c r="X514" s="2057"/>
      <c r="Y514" s="2057"/>
      <c r="Z514" s="2057"/>
      <c r="AA514" s="2057"/>
      <c r="AB514" s="2057"/>
      <c r="AC514" s="2057"/>
      <c r="AD514" s="2057"/>
      <c r="AE514" s="2057"/>
      <c r="AF514" s="205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5">
        <f>SUM(AG468:AG513)</f>
        <v>0</v>
      </c>
      <c r="AL524" s="1976"/>
      <c r="AM524" s="197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0" t="s">
        <v>1673</v>
      </c>
      <c r="AF527" s="1910"/>
      <c r="AG527" s="1910"/>
      <c r="AH527" s="1910"/>
      <c r="AI527" s="1910"/>
      <c r="AJ527" s="1910"/>
      <c r="AK527" s="1910"/>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2" t="s">
        <v>600</v>
      </c>
      <c r="D530" s="1972"/>
      <c r="E530" s="585"/>
      <c r="F530" s="2058" t="s">
        <v>1674</v>
      </c>
      <c r="G530" s="2059"/>
      <c r="H530" s="2059"/>
      <c r="I530" s="2059"/>
      <c r="J530" s="2059"/>
      <c r="K530" s="2059"/>
      <c r="L530" s="2059"/>
      <c r="M530" s="2059"/>
      <c r="N530" s="2059"/>
      <c r="O530" s="2059"/>
      <c r="P530" s="2059"/>
      <c r="Q530" s="2059"/>
      <c r="R530" s="2059"/>
      <c r="S530" s="2059"/>
      <c r="T530" s="2059"/>
      <c r="U530" s="2059"/>
      <c r="V530" s="2059"/>
      <c r="W530" s="2059"/>
      <c r="X530" s="2059"/>
      <c r="Y530" s="2059"/>
      <c r="Z530" s="2059"/>
      <c r="AA530" s="2059"/>
      <c r="AB530" s="2059"/>
      <c r="AC530" s="2059"/>
      <c r="AD530" s="2059"/>
      <c r="AE530" s="2059"/>
      <c r="AF530" s="2059"/>
      <c r="AG530" s="2059"/>
      <c r="AH530" s="2059"/>
      <c r="AI530" s="2059"/>
      <c r="AJ530" s="2059"/>
      <c r="AK530" s="2059"/>
      <c r="AL530" s="2060"/>
      <c r="AM530" s="629"/>
      <c r="AN530" s="631"/>
    </row>
    <row r="531" spans="1:49" s="584" customFormat="1" ht="12.75" customHeight="1">
      <c r="A531" s="573"/>
      <c r="B531" s="573"/>
      <c r="C531" s="585"/>
      <c r="D531" s="585"/>
      <c r="E531" s="585"/>
      <c r="F531" s="2061"/>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062"/>
      <c r="AH531" s="2062"/>
      <c r="AI531" s="2062"/>
      <c r="AJ531" s="2062"/>
      <c r="AK531" s="2062"/>
      <c r="AL531" s="206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2" t="s">
        <v>554</v>
      </c>
      <c r="D533" s="1972"/>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4" t="s">
        <v>1676</v>
      </c>
      <c r="G534" s="1995"/>
      <c r="H534" s="1995"/>
      <c r="I534" s="1995"/>
      <c r="J534" s="1995"/>
      <c r="K534" s="1995"/>
      <c r="L534" s="1995"/>
      <c r="M534" s="1995"/>
      <c r="N534" s="1995"/>
      <c r="O534" s="1995"/>
      <c r="P534" s="1995"/>
      <c r="Q534" s="1995"/>
      <c r="R534" s="1995"/>
      <c r="S534" s="1995"/>
      <c r="T534" s="1995"/>
      <c r="U534" s="1995"/>
      <c r="V534" s="1995"/>
      <c r="W534" s="1995"/>
      <c r="X534" s="1995"/>
      <c r="Y534" s="1995"/>
      <c r="Z534" s="1995"/>
      <c r="AA534" s="1995"/>
      <c r="AB534" s="1995"/>
      <c r="AC534" s="1995"/>
      <c r="AD534" s="1995"/>
      <c r="AE534" s="1995"/>
      <c r="AF534" s="1995"/>
      <c r="AG534" s="1995"/>
      <c r="AH534" s="1995"/>
      <c r="AI534" s="1995"/>
      <c r="AJ534" s="1995"/>
      <c r="AK534" s="1995"/>
      <c r="AL534" s="1996"/>
      <c r="AM534" s="629"/>
      <c r="AN534" s="631"/>
      <c r="AS534" s="904"/>
      <c r="AT534" s="904"/>
      <c r="AU534" s="904"/>
      <c r="AV534" s="904"/>
      <c r="AW534" s="904"/>
    </row>
    <row r="535" spans="1:49" s="584" customFormat="1" ht="12.75" customHeight="1">
      <c r="B535" s="840"/>
      <c r="C535" s="840"/>
      <c r="D535" s="840"/>
      <c r="E535" s="840"/>
      <c r="F535" s="1994"/>
      <c r="G535" s="1995"/>
      <c r="H535" s="1995"/>
      <c r="I535" s="1995"/>
      <c r="J535" s="1995"/>
      <c r="K535" s="1995"/>
      <c r="L535" s="1995"/>
      <c r="M535" s="1995"/>
      <c r="N535" s="1995"/>
      <c r="O535" s="1995"/>
      <c r="P535" s="1995"/>
      <c r="Q535" s="1995"/>
      <c r="R535" s="1995"/>
      <c r="S535" s="1995"/>
      <c r="T535" s="1995"/>
      <c r="U535" s="1995"/>
      <c r="V535" s="1995"/>
      <c r="W535" s="1995"/>
      <c r="X535" s="1995"/>
      <c r="Y535" s="1995"/>
      <c r="Z535" s="1995"/>
      <c r="AA535" s="1995"/>
      <c r="AB535" s="1995"/>
      <c r="AC535" s="1995"/>
      <c r="AD535" s="1995"/>
      <c r="AE535" s="1995"/>
      <c r="AF535" s="1995"/>
      <c r="AG535" s="1995"/>
      <c r="AH535" s="1995"/>
      <c r="AI535" s="1995"/>
      <c r="AJ535" s="1995"/>
      <c r="AK535" s="1995"/>
      <c r="AL535" s="1996"/>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4" t="s">
        <v>1677</v>
      </c>
      <c r="G537" s="1995"/>
      <c r="H537" s="1995"/>
      <c r="I537" s="1995"/>
      <c r="J537" s="1995"/>
      <c r="K537" s="1995"/>
      <c r="L537" s="1995"/>
      <c r="M537" s="1995"/>
      <c r="N537" s="1995"/>
      <c r="O537" s="1995"/>
      <c r="P537" s="1995"/>
      <c r="Q537" s="1995"/>
      <c r="R537" s="1995"/>
      <c r="S537" s="1995"/>
      <c r="T537" s="1995"/>
      <c r="U537" s="1995"/>
      <c r="V537" s="1995"/>
      <c r="W537" s="1995"/>
      <c r="X537" s="1995"/>
      <c r="Y537" s="1995"/>
      <c r="Z537" s="1995"/>
      <c r="AA537" s="1995"/>
      <c r="AB537" s="1995"/>
      <c r="AC537" s="1995"/>
      <c r="AD537" s="1995"/>
      <c r="AE537" s="1995"/>
      <c r="AF537" s="1995"/>
      <c r="AG537" s="1995"/>
      <c r="AH537" s="1995"/>
      <c r="AI537" s="1995"/>
      <c r="AJ537" s="1995"/>
      <c r="AK537" s="1995"/>
      <c r="AL537" s="847"/>
      <c r="AM537" s="629"/>
      <c r="AN537" s="631"/>
    </row>
    <row r="538" spans="1:49" s="584" customFormat="1" ht="12.75" customHeight="1">
      <c r="B538" s="840"/>
      <c r="C538" s="840"/>
      <c r="D538" s="840"/>
      <c r="E538" s="840"/>
      <c r="F538" s="1997"/>
      <c r="G538" s="1998"/>
      <c r="H538" s="1998"/>
      <c r="I538" s="1998"/>
      <c r="J538" s="1998"/>
      <c r="K538" s="1998"/>
      <c r="L538" s="1998"/>
      <c r="M538" s="1998"/>
      <c r="N538" s="1998"/>
      <c r="O538" s="1998"/>
      <c r="P538" s="1998"/>
      <c r="Q538" s="1998"/>
      <c r="R538" s="1998"/>
      <c r="S538" s="1998"/>
      <c r="T538" s="1998"/>
      <c r="U538" s="1998"/>
      <c r="V538" s="1998"/>
      <c r="W538" s="1998"/>
      <c r="X538" s="1998"/>
      <c r="Y538" s="1998"/>
      <c r="Z538" s="1998"/>
      <c r="AA538" s="1998"/>
      <c r="AB538" s="1998"/>
      <c r="AC538" s="1998"/>
      <c r="AD538" s="1998"/>
      <c r="AE538" s="1998"/>
      <c r="AF538" s="1998"/>
      <c r="AG538" s="1998"/>
      <c r="AH538" s="1998"/>
      <c r="AI538" s="1998"/>
      <c r="AJ538" s="1998"/>
      <c r="AK538" s="199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2">
        <f>Application!AJ991</f>
        <v>75577868</v>
      </c>
      <c r="AQ539" s="2122"/>
      <c r="AR539" s="2122"/>
      <c r="AS539" s="584" t="s">
        <v>2529</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8">
        <f>'Sources and Uses Budget'!S107+'Sources and Uses Budget'!T107</f>
        <v>93730412.480000004</v>
      </c>
      <c r="AG540" s="1978"/>
      <c r="AH540" s="1978"/>
      <c r="AI540" s="1978"/>
      <c r="AJ540" s="1978"/>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7">
        <f>IFERROR(AP548,0)</f>
        <v>151486132</v>
      </c>
      <c r="AG541" s="2127"/>
      <c r="AH541" s="2127"/>
      <c r="AI541" s="2127"/>
      <c r="AJ541" s="2127"/>
      <c r="AK541" s="629"/>
      <c r="AL541" s="629"/>
      <c r="AM541" s="629"/>
      <c r="AN541" s="631"/>
      <c r="AP541" s="2122">
        <f>Application!AJ1044</f>
        <v>41567827.400000006</v>
      </c>
      <c r="AQ541" s="2122"/>
      <c r="AR541" s="2122"/>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8">
        <f>IFERROR(ROUNDDOWN(IF(C533="YES",((1-(AF540/AF541))*2),(1-(AF540/AF541))),2),0)</f>
        <v>0.76</v>
      </c>
      <c r="AG542" s="2128"/>
      <c r="AH542" s="2128"/>
      <c r="AI542" s="2128"/>
      <c r="AJ542" s="2128"/>
      <c r="AK542" s="629"/>
      <c r="AL542" s="629"/>
      <c r="AM542" s="629"/>
      <c r="AN542" s="631"/>
      <c r="AP542" s="2125">
        <f>Application!AJ1048</f>
        <v>15115573.600000001</v>
      </c>
      <c r="AQ542" s="2125"/>
      <c r="AR542" s="2125"/>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1">
        <f>IF(((AP541+AP542)/AP539)&gt;0.8,0.8,((AP541+AP542)/AP539))</f>
        <v>0.75000000000000011</v>
      </c>
      <c r="AQ543" s="2121"/>
      <c r="AR543" s="2121"/>
      <c r="AS543" s="584" t="s">
        <v>2531</v>
      </c>
    </row>
    <row r="544" spans="1:49" s="584" customFormat="1" ht="12.75" customHeight="1">
      <c r="A544" s="658"/>
      <c r="B544" s="2074" t="s">
        <v>2342</v>
      </c>
      <c r="C544" s="2075"/>
      <c r="D544" s="2075"/>
      <c r="E544" s="2075"/>
      <c r="F544" s="2075"/>
      <c r="G544" s="2075"/>
      <c r="H544" s="2075"/>
      <c r="I544" s="2075"/>
      <c r="J544" s="2075"/>
      <c r="K544" s="2075"/>
      <c r="L544" s="2075"/>
      <c r="M544" s="2075"/>
      <c r="N544" s="2075"/>
      <c r="O544" s="2075"/>
      <c r="P544" s="2075"/>
      <c r="Q544" s="2075"/>
      <c r="R544" s="2075"/>
      <c r="S544" s="2075"/>
      <c r="T544" s="2075"/>
      <c r="U544" s="2075"/>
      <c r="V544" s="2075"/>
      <c r="W544" s="2075"/>
      <c r="X544" s="2075"/>
      <c r="Y544" s="2075"/>
      <c r="Z544" s="2075"/>
      <c r="AA544" s="2075"/>
      <c r="AB544" s="2075"/>
      <c r="AC544" s="2075"/>
      <c r="AD544" s="2075"/>
      <c r="AE544" s="2075"/>
      <c r="AF544" s="2075"/>
      <c r="AG544" s="2075"/>
      <c r="AH544" s="2075"/>
      <c r="AI544" s="2075"/>
      <c r="AJ544" s="2076"/>
      <c r="AK544" s="629"/>
      <c r="AL544" s="629"/>
      <c r="AM544" s="629"/>
      <c r="AN544" s="631"/>
    </row>
    <row r="545" spans="1:45" s="584" customFormat="1" ht="12.75" customHeight="1">
      <c r="A545" s="658"/>
      <c r="B545" s="2077"/>
      <c r="C545" s="2078"/>
      <c r="D545" s="2078"/>
      <c r="E545" s="2078"/>
      <c r="F545" s="2078"/>
      <c r="G545" s="2078"/>
      <c r="H545" s="2078"/>
      <c r="I545" s="2078"/>
      <c r="J545" s="2078"/>
      <c r="K545" s="2078"/>
      <c r="L545" s="2078"/>
      <c r="M545" s="2078"/>
      <c r="N545" s="2078"/>
      <c r="O545" s="2078"/>
      <c r="P545" s="2078"/>
      <c r="Q545" s="2078"/>
      <c r="R545" s="2078"/>
      <c r="S545" s="2078"/>
      <c r="T545" s="2078"/>
      <c r="U545" s="2078"/>
      <c r="V545" s="2078"/>
      <c r="W545" s="2078"/>
      <c r="X545" s="2078"/>
      <c r="Y545" s="2078"/>
      <c r="Z545" s="2078"/>
      <c r="AA545" s="2078"/>
      <c r="AB545" s="2078"/>
      <c r="AC545" s="2078"/>
      <c r="AD545" s="2078"/>
      <c r="AE545" s="2078"/>
      <c r="AF545" s="2078"/>
      <c r="AG545" s="2078"/>
      <c r="AH545" s="2078"/>
      <c r="AI545" s="2078"/>
      <c r="AJ545" s="2079"/>
      <c r="AK545" s="629"/>
      <c r="AL545" s="629"/>
      <c r="AM545" s="629"/>
      <c r="AN545" s="631"/>
      <c r="AP545" s="2122">
        <f>AP546-AP541-AP542</f>
        <v>94802731</v>
      </c>
      <c r="AQ545" s="2030"/>
      <c r="AR545" s="2030"/>
      <c r="AS545" s="584" t="s">
        <v>2533</v>
      </c>
    </row>
    <row r="546" spans="1:45" s="584" customFormat="1" ht="12.75" customHeight="1">
      <c r="A546" s="658"/>
      <c r="B546" s="2080"/>
      <c r="C546" s="2081"/>
      <c r="D546" s="2081"/>
      <c r="E546" s="2081"/>
      <c r="F546" s="2081"/>
      <c r="G546" s="2081"/>
      <c r="H546" s="2081"/>
      <c r="I546" s="2081"/>
      <c r="J546" s="2081"/>
      <c r="K546" s="2081"/>
      <c r="L546" s="2081"/>
      <c r="M546" s="2081"/>
      <c r="N546" s="2081"/>
      <c r="O546" s="2081"/>
      <c r="P546" s="2081"/>
      <c r="Q546" s="2081"/>
      <c r="R546" s="2081"/>
      <c r="S546" s="2081"/>
      <c r="T546" s="2081"/>
      <c r="U546" s="2081"/>
      <c r="V546" s="2081"/>
      <c r="W546" s="2081"/>
      <c r="X546" s="2081"/>
      <c r="Y546" s="2081"/>
      <c r="Z546" s="2081"/>
      <c r="AA546" s="2081"/>
      <c r="AB546" s="2081"/>
      <c r="AC546" s="2081"/>
      <c r="AD546" s="2081"/>
      <c r="AE546" s="2081"/>
      <c r="AF546" s="2081"/>
      <c r="AG546" s="2081"/>
      <c r="AH546" s="2081"/>
      <c r="AI546" s="2081"/>
      <c r="AJ546" s="2082"/>
      <c r="AK546" s="629"/>
      <c r="AL546" s="629"/>
      <c r="AM546" s="629"/>
      <c r="AN546" s="631"/>
      <c r="AP546" s="2122">
        <f>Application!AJ1052</f>
        <v>151486132</v>
      </c>
      <c r="AQ546" s="2122"/>
      <c r="AR546" s="2122"/>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3">
        <f>IFERROR(IF(AND(C530="N/A",C533="N/A"),0,IF(AF542=0,0,IF((AF542*100)&gt;12,12,(AF542*100)))),0)</f>
        <v>12</v>
      </c>
      <c r="AL548" s="2083"/>
      <c r="AM548" s="2084"/>
      <c r="AN548" s="631"/>
      <c r="AP548" s="2138">
        <f>AP545+(AP539*AP543)</f>
        <v>151486132</v>
      </c>
      <c r="AQ548" s="2139"/>
      <c r="AR548" s="214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0" t="s">
        <v>1426</v>
      </c>
      <c r="AF551" s="1910"/>
      <c r="AG551" s="1910"/>
      <c r="AH551" s="1910"/>
      <c r="AI551" s="1910"/>
      <c r="AJ551" s="1910"/>
      <c r="AK551" s="191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5" t="s">
        <v>2333</v>
      </c>
      <c r="C553" s="1995"/>
      <c r="D553" s="1995"/>
      <c r="E553" s="1995"/>
      <c r="F553" s="1995"/>
      <c r="G553" s="1995"/>
      <c r="H553" s="1995"/>
      <c r="I553" s="1995"/>
      <c r="J553" s="1995"/>
      <c r="K553" s="1995"/>
      <c r="L553" s="1995"/>
      <c r="M553" s="1995"/>
      <c r="N553" s="1995"/>
      <c r="O553" s="1995"/>
      <c r="P553" s="1995"/>
      <c r="Q553" s="1995"/>
      <c r="R553" s="1995"/>
      <c r="S553" s="1995"/>
      <c r="T553" s="1995"/>
      <c r="U553" s="1995"/>
      <c r="V553" s="1995"/>
      <c r="W553" s="1995"/>
      <c r="X553" s="1995"/>
      <c r="Y553" s="1995"/>
      <c r="Z553" s="1995"/>
      <c r="AA553" s="1995"/>
      <c r="AB553" s="1995"/>
      <c r="AC553" s="1995"/>
      <c r="AD553" s="1995"/>
      <c r="AE553" s="1995"/>
      <c r="AF553" s="1995"/>
      <c r="AG553" s="1995"/>
      <c r="AH553" s="1995"/>
      <c r="AI553" s="1995"/>
      <c r="AJ553" s="1995"/>
      <c r="AK553" s="676"/>
      <c r="AL553" s="607"/>
      <c r="AM553" s="637"/>
      <c r="AN553" s="631"/>
    </row>
    <row r="554" spans="1:45" s="584" customFormat="1" ht="12.75" customHeight="1">
      <c r="A554" s="637"/>
      <c r="B554" s="1995"/>
      <c r="C554" s="1995"/>
      <c r="D554" s="1995"/>
      <c r="E554" s="1995"/>
      <c r="F554" s="1995"/>
      <c r="G554" s="1995"/>
      <c r="H554" s="1995"/>
      <c r="I554" s="1995"/>
      <c r="J554" s="1995"/>
      <c r="K554" s="1995"/>
      <c r="L554" s="1995"/>
      <c r="M554" s="1995"/>
      <c r="N554" s="1995"/>
      <c r="O554" s="1995"/>
      <c r="P554" s="1995"/>
      <c r="Q554" s="1995"/>
      <c r="R554" s="1995"/>
      <c r="S554" s="1995"/>
      <c r="T554" s="1995"/>
      <c r="U554" s="1995"/>
      <c r="V554" s="1995"/>
      <c r="W554" s="1995"/>
      <c r="X554" s="1995"/>
      <c r="Y554" s="1995"/>
      <c r="Z554" s="1995"/>
      <c r="AA554" s="1995"/>
      <c r="AB554" s="1995"/>
      <c r="AC554" s="1995"/>
      <c r="AD554" s="1995"/>
      <c r="AE554" s="1995"/>
      <c r="AF554" s="1995"/>
      <c r="AG554" s="1995"/>
      <c r="AH554" s="1995"/>
      <c r="AI554" s="1995"/>
      <c r="AJ554" s="1995"/>
      <c r="AK554" s="676"/>
      <c r="AL554" s="607"/>
      <c r="AM554" s="637"/>
      <c r="AN554" s="631"/>
    </row>
    <row r="555" spans="1:45" s="584" customFormat="1" ht="12.75" customHeight="1">
      <c r="A555" s="637"/>
      <c r="B555" s="1995"/>
      <c r="C555" s="1995"/>
      <c r="D555" s="1995"/>
      <c r="E555" s="1995"/>
      <c r="F555" s="1995"/>
      <c r="G555" s="1995"/>
      <c r="H555" s="1995"/>
      <c r="I555" s="1995"/>
      <c r="J555" s="1995"/>
      <c r="K555" s="1995"/>
      <c r="L555" s="1995"/>
      <c r="M555" s="1995"/>
      <c r="N555" s="1995"/>
      <c r="O555" s="1995"/>
      <c r="P555" s="1995"/>
      <c r="Q555" s="1995"/>
      <c r="R555" s="1995"/>
      <c r="S555" s="1995"/>
      <c r="T555" s="1995"/>
      <c r="U555" s="1995"/>
      <c r="V555" s="1995"/>
      <c r="W555" s="1995"/>
      <c r="X555" s="1995"/>
      <c r="Y555" s="1995"/>
      <c r="Z555" s="1995"/>
      <c r="AA555" s="1995"/>
      <c r="AB555" s="1995"/>
      <c r="AC555" s="1995"/>
      <c r="AD555" s="1995"/>
      <c r="AE555" s="1995"/>
      <c r="AF555" s="1995"/>
      <c r="AG555" s="1995"/>
      <c r="AH555" s="1995"/>
      <c r="AI555" s="1995"/>
      <c r="AJ555" s="1995"/>
      <c r="AK555" s="676"/>
      <c r="AL555" s="607"/>
      <c r="AM555" s="637"/>
      <c r="AN555" s="631"/>
    </row>
    <row r="556" spans="1:45" s="584" customFormat="1" ht="12.75" customHeight="1">
      <c r="A556" s="637"/>
      <c r="B556" s="1995"/>
      <c r="C556" s="1995"/>
      <c r="D556" s="1995"/>
      <c r="E556" s="1995"/>
      <c r="F556" s="1995"/>
      <c r="G556" s="1995"/>
      <c r="H556" s="1995"/>
      <c r="I556" s="1995"/>
      <c r="J556" s="1995"/>
      <c r="K556" s="1995"/>
      <c r="L556" s="1995"/>
      <c r="M556" s="1995"/>
      <c r="N556" s="1995"/>
      <c r="O556" s="1995"/>
      <c r="P556" s="1995"/>
      <c r="Q556" s="1995"/>
      <c r="R556" s="1995"/>
      <c r="S556" s="1995"/>
      <c r="T556" s="1995"/>
      <c r="U556" s="1995"/>
      <c r="V556" s="1995"/>
      <c r="W556" s="1995"/>
      <c r="X556" s="1995"/>
      <c r="Y556" s="1995"/>
      <c r="Z556" s="1995"/>
      <c r="AA556" s="1995"/>
      <c r="AB556" s="1995"/>
      <c r="AC556" s="1995"/>
      <c r="AD556" s="1995"/>
      <c r="AE556" s="1995"/>
      <c r="AF556" s="1995"/>
      <c r="AG556" s="1995"/>
      <c r="AH556" s="1995"/>
      <c r="AI556" s="1995"/>
      <c r="AJ556" s="1995"/>
      <c r="AK556" s="676"/>
      <c r="AL556" s="607"/>
      <c r="AM556" s="637"/>
      <c r="AN556" s="631"/>
    </row>
    <row r="557" spans="1:45" s="584" customFormat="1" ht="12.75" customHeight="1">
      <c r="A557" s="637"/>
      <c r="B557" s="1995"/>
      <c r="C557" s="1995"/>
      <c r="D557" s="1995"/>
      <c r="E557" s="1995"/>
      <c r="F557" s="1995"/>
      <c r="G557" s="1995"/>
      <c r="H557" s="1995"/>
      <c r="I557" s="1995"/>
      <c r="J557" s="1995"/>
      <c r="K557" s="1995"/>
      <c r="L557" s="1995"/>
      <c r="M557" s="1995"/>
      <c r="N557" s="1995"/>
      <c r="O557" s="1995"/>
      <c r="P557" s="1995"/>
      <c r="Q557" s="1995"/>
      <c r="R557" s="1995"/>
      <c r="S557" s="1995"/>
      <c r="T557" s="1995"/>
      <c r="U557" s="1995"/>
      <c r="V557" s="1995"/>
      <c r="W557" s="1995"/>
      <c r="X557" s="1995"/>
      <c r="Y557" s="1995"/>
      <c r="Z557" s="1995"/>
      <c r="AA557" s="1995"/>
      <c r="AB557" s="1995"/>
      <c r="AC557" s="1995"/>
      <c r="AD557" s="1995"/>
      <c r="AE557" s="1995"/>
      <c r="AF557" s="1995"/>
      <c r="AG557" s="1995"/>
      <c r="AH557" s="1995"/>
      <c r="AI557" s="1995"/>
      <c r="AJ557" s="1995"/>
      <c r="AK557" s="676"/>
      <c r="AL557" s="607"/>
      <c r="AM557" s="637"/>
      <c r="AN557" s="631"/>
    </row>
    <row r="558" spans="1:45" s="584" customFormat="1" ht="12.75" customHeight="1">
      <c r="A558" s="637"/>
      <c r="B558" s="1995"/>
      <c r="C558" s="1995"/>
      <c r="D558" s="1995"/>
      <c r="E558" s="1995"/>
      <c r="F558" s="1995"/>
      <c r="G558" s="1995"/>
      <c r="H558" s="1995"/>
      <c r="I558" s="1995"/>
      <c r="J558" s="1995"/>
      <c r="K558" s="1995"/>
      <c r="L558" s="1995"/>
      <c r="M558" s="1995"/>
      <c r="N558" s="1995"/>
      <c r="O558" s="1995"/>
      <c r="P558" s="1995"/>
      <c r="Q558" s="1995"/>
      <c r="R558" s="1995"/>
      <c r="S558" s="1995"/>
      <c r="T558" s="1995"/>
      <c r="U558" s="1995"/>
      <c r="V558" s="1995"/>
      <c r="W558" s="1995"/>
      <c r="X558" s="1995"/>
      <c r="Y558" s="1995"/>
      <c r="Z558" s="1995"/>
      <c r="AA558" s="1995"/>
      <c r="AB558" s="1995"/>
      <c r="AC558" s="1995"/>
      <c r="AD558" s="1995"/>
      <c r="AE558" s="1995"/>
      <c r="AF558" s="1995"/>
      <c r="AG558" s="1995"/>
      <c r="AH558" s="1995"/>
      <c r="AI558" s="1995"/>
      <c r="AJ558" s="1995"/>
      <c r="AK558" s="676"/>
      <c r="AL558" s="607"/>
      <c r="AM558" s="637"/>
      <c r="AN558" s="631"/>
    </row>
    <row r="559" spans="1:45" s="584" customFormat="1" ht="12.75" customHeight="1">
      <c r="A559" s="637"/>
      <c r="B559" s="1995"/>
      <c r="C559" s="1995"/>
      <c r="D559" s="1995"/>
      <c r="E559" s="1995"/>
      <c r="F559" s="1995"/>
      <c r="G559" s="1995"/>
      <c r="H559" s="1995"/>
      <c r="I559" s="1995"/>
      <c r="J559" s="1995"/>
      <c r="K559" s="1995"/>
      <c r="L559" s="1995"/>
      <c r="M559" s="1995"/>
      <c r="N559" s="1995"/>
      <c r="O559" s="1995"/>
      <c r="P559" s="1995"/>
      <c r="Q559" s="1995"/>
      <c r="R559" s="1995"/>
      <c r="S559" s="1995"/>
      <c r="T559" s="1995"/>
      <c r="U559" s="1995"/>
      <c r="V559" s="1995"/>
      <c r="W559" s="1995"/>
      <c r="X559" s="1995"/>
      <c r="Y559" s="1995"/>
      <c r="Z559" s="1995"/>
      <c r="AA559" s="1995"/>
      <c r="AB559" s="1995"/>
      <c r="AC559" s="1995"/>
      <c r="AD559" s="1995"/>
      <c r="AE559" s="1995"/>
      <c r="AF559" s="1995"/>
      <c r="AG559" s="1995"/>
      <c r="AH559" s="1995"/>
      <c r="AI559" s="1995"/>
      <c r="AJ559" s="1995"/>
      <c r="AK559" s="676"/>
      <c r="AL559" s="607"/>
      <c r="AM559" s="637"/>
      <c r="AN559" s="631"/>
    </row>
    <row r="560" spans="1:45" ht="12.75" customHeight="1">
      <c r="A560" s="637"/>
      <c r="B560" s="1995"/>
      <c r="C560" s="1995"/>
      <c r="D560" s="1995"/>
      <c r="E560" s="1995"/>
      <c r="F560" s="1995"/>
      <c r="G560" s="1995"/>
      <c r="H560" s="1995"/>
      <c r="I560" s="1995"/>
      <c r="J560" s="1995"/>
      <c r="K560" s="1995"/>
      <c r="L560" s="1995"/>
      <c r="M560" s="1995"/>
      <c r="N560" s="1995"/>
      <c r="O560" s="1995"/>
      <c r="P560" s="1995"/>
      <c r="Q560" s="1995"/>
      <c r="R560" s="1995"/>
      <c r="S560" s="1995"/>
      <c r="T560" s="1995"/>
      <c r="U560" s="1995"/>
      <c r="V560" s="1995"/>
      <c r="W560" s="1995"/>
      <c r="X560" s="1995"/>
      <c r="Y560" s="1995"/>
      <c r="Z560" s="1995"/>
      <c r="AA560" s="1995"/>
      <c r="AB560" s="1995"/>
      <c r="AC560" s="1995"/>
      <c r="AD560" s="1995"/>
      <c r="AE560" s="1995"/>
      <c r="AF560" s="1995"/>
      <c r="AG560" s="1995"/>
      <c r="AH560" s="1995"/>
      <c r="AI560" s="1995"/>
      <c r="AJ560" s="1995"/>
      <c r="AK560" s="676"/>
      <c r="AL560" s="607"/>
      <c r="AM560" s="637"/>
    </row>
    <row r="561" spans="1:42" s="584" customFormat="1" ht="12.75" customHeight="1">
      <c r="B561" s="1995"/>
      <c r="C561" s="1995"/>
      <c r="D561" s="1995"/>
      <c r="E561" s="1995"/>
      <c r="F561" s="1995"/>
      <c r="G561" s="1995"/>
      <c r="H561" s="1995"/>
      <c r="I561" s="1995"/>
      <c r="J561" s="1995"/>
      <c r="K561" s="1995"/>
      <c r="L561" s="1995"/>
      <c r="M561" s="1995"/>
      <c r="N561" s="1995"/>
      <c r="O561" s="1995"/>
      <c r="P561" s="1995"/>
      <c r="Q561" s="1995"/>
      <c r="R561" s="1995"/>
      <c r="S561" s="1995"/>
      <c r="T561" s="1995"/>
      <c r="U561" s="1995"/>
      <c r="V561" s="1995"/>
      <c r="W561" s="1995"/>
      <c r="X561" s="1995"/>
      <c r="Y561" s="1995"/>
      <c r="Z561" s="1995"/>
      <c r="AA561" s="1995"/>
      <c r="AB561" s="1995"/>
      <c r="AC561" s="1995"/>
      <c r="AD561" s="1995"/>
      <c r="AE561" s="1995"/>
      <c r="AF561" s="1995"/>
      <c r="AG561" s="1995"/>
      <c r="AH561" s="1995"/>
      <c r="AI561" s="1995"/>
      <c r="AJ561" s="199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2" t="s">
        <v>1450</v>
      </c>
      <c r="AG567" s="1942"/>
      <c r="AH567" s="1942"/>
      <c r="AI567" s="1942"/>
      <c r="AJ567" s="1942"/>
      <c r="AK567" s="1942"/>
      <c r="AL567" s="1942"/>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2" t="s">
        <v>1508</v>
      </c>
      <c r="AG574" s="1942"/>
      <c r="AH574" s="1942"/>
      <c r="AI574" s="1942"/>
      <c r="AJ574" s="1942"/>
      <c r="AK574" s="1942"/>
      <c r="AL574" s="1942"/>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2" t="s">
        <v>1490</v>
      </c>
      <c r="AG580" s="1942"/>
      <c r="AH580" s="1942"/>
      <c r="AI580" s="1942"/>
      <c r="AJ580" s="1942"/>
      <c r="AK580" s="1942"/>
      <c r="AL580" s="1942"/>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2" t="s">
        <v>1511</v>
      </c>
      <c r="AG586" s="1942"/>
      <c r="AH586" s="1942"/>
      <c r="AI586" s="1942"/>
      <c r="AJ586" s="1942"/>
      <c r="AK586" s="1942"/>
      <c r="AL586" s="1942"/>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2058</v>
      </c>
      <c r="O590" s="2026" t="s">
        <v>1291</v>
      </c>
      <c r="P590" s="2026"/>
      <c r="Q590" s="2026"/>
      <c r="R590" s="2026"/>
      <c r="S590" s="2026"/>
      <c r="T590" s="2026"/>
      <c r="U590" s="2026"/>
      <c r="V590" s="2026"/>
      <c r="W590" s="2026"/>
      <c r="X590" s="2026"/>
      <c r="Y590" s="2026"/>
      <c r="Z590" s="2026"/>
      <c r="AA590" s="2026"/>
      <c r="AB590" s="202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2" t="s">
        <v>1464</v>
      </c>
      <c r="AG592" s="1942"/>
      <c r="AH592" s="1942"/>
      <c r="AI592" s="1942"/>
      <c r="AJ592" s="1942"/>
      <c r="AK592" s="1942"/>
      <c r="AL592" s="1942"/>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4" t="s">
        <v>1509</v>
      </c>
      <c r="I595" s="2024"/>
      <c r="J595" s="971"/>
      <c r="K595" s="971"/>
      <c r="L595" s="971"/>
      <c r="N595" s="22"/>
      <c r="O595" s="22"/>
      <c r="P595" s="22"/>
      <c r="Q595" s="1195" t="s">
        <v>2536</v>
      </c>
      <c r="R595" s="2027" t="s">
        <v>2537</v>
      </c>
      <c r="S595" s="2027"/>
      <c r="T595" s="2027"/>
      <c r="U595" s="2027"/>
      <c r="V595" s="2027"/>
      <c r="W595" s="202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8" t="str">
        <f>IF(AND(H595="(i)",NOT(AP571)),AO588,IF(AND(H595="(iv)",OR(R595=AO584,R595=AO583),NOT(AP572)),AO589,""))</f>
        <v/>
      </c>
      <c r="Z596" s="2028"/>
      <c r="AA596" s="2028"/>
      <c r="AB596" s="2028"/>
      <c r="AC596" s="2028"/>
      <c r="AD596" s="2028"/>
      <c r="AE596" s="2028"/>
      <c r="AF596" s="2028"/>
      <c r="AG596" s="2028"/>
      <c r="AH596" s="2028"/>
      <c r="AI596" s="2028"/>
      <c r="AJ596" s="2028"/>
      <c r="AK596" s="2028"/>
      <c r="AL596" s="2028"/>
      <c r="AM596" s="202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8"/>
      <c r="Z597" s="2028"/>
      <c r="AA597" s="2028"/>
      <c r="AB597" s="2028"/>
      <c r="AC597" s="2028"/>
      <c r="AD597" s="2028"/>
      <c r="AE597" s="2028"/>
      <c r="AF597" s="2028"/>
      <c r="AG597" s="2028"/>
      <c r="AH597" s="2028"/>
      <c r="AI597" s="2028"/>
      <c r="AJ597" s="2028"/>
      <c r="AK597" s="2028"/>
      <c r="AL597" s="2028"/>
      <c r="AM597" s="2029"/>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5" t="s">
        <v>600</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9" t="s">
        <v>600</v>
      </c>
      <c r="C605" s="1969"/>
      <c r="D605" s="676"/>
      <c r="E605" s="1995" t="s">
        <v>1515</v>
      </c>
      <c r="F605" s="1995"/>
      <c r="G605" s="1995"/>
      <c r="H605" s="1995"/>
      <c r="I605" s="1995"/>
      <c r="J605" s="1995"/>
      <c r="K605" s="1995"/>
      <c r="L605" s="1995"/>
      <c r="M605" s="1995"/>
      <c r="N605" s="1995"/>
      <c r="O605" s="1995"/>
      <c r="P605" s="1995"/>
      <c r="Q605" s="1995"/>
      <c r="R605" s="1995"/>
      <c r="S605" s="1995"/>
      <c r="T605" s="1995"/>
      <c r="U605" s="1995"/>
      <c r="V605" s="1995"/>
      <c r="W605" s="1995"/>
      <c r="X605" s="1995"/>
      <c r="Y605" s="1995"/>
      <c r="Z605" s="1995"/>
      <c r="AA605" s="1995"/>
      <c r="AB605" s="1995"/>
      <c r="AC605" s="1995"/>
      <c r="AD605" s="1995"/>
      <c r="AE605" s="1995"/>
      <c r="AF605" s="1995"/>
      <c r="AG605" s="1995"/>
      <c r="AH605" s="676"/>
      <c r="AI605" s="676"/>
      <c r="AJ605" s="676"/>
      <c r="AK605" s="676"/>
      <c r="AL605" s="676"/>
      <c r="AN605" s="631"/>
    </row>
    <row r="606" spans="2:47" s="584" customFormat="1" ht="12.75" customHeight="1">
      <c r="B606" s="570"/>
      <c r="C606" s="968"/>
      <c r="D606" s="676"/>
      <c r="E606" s="1995"/>
      <c r="F606" s="1995"/>
      <c r="G606" s="1995"/>
      <c r="H606" s="1995"/>
      <c r="I606" s="1995"/>
      <c r="J606" s="1995"/>
      <c r="K606" s="1995"/>
      <c r="L606" s="1995"/>
      <c r="M606" s="1995"/>
      <c r="N606" s="1995"/>
      <c r="O606" s="1995"/>
      <c r="P606" s="1995"/>
      <c r="Q606" s="1995"/>
      <c r="R606" s="1995"/>
      <c r="S606" s="1995"/>
      <c r="T606" s="1995"/>
      <c r="U606" s="1995"/>
      <c r="V606" s="1995"/>
      <c r="W606" s="1995"/>
      <c r="X606" s="1995"/>
      <c r="Y606" s="1995"/>
      <c r="Z606" s="1995"/>
      <c r="AA606" s="1995"/>
      <c r="AB606" s="1995"/>
      <c r="AC606" s="1995"/>
      <c r="AD606" s="1995"/>
      <c r="AE606" s="1995"/>
      <c r="AF606" s="1995"/>
      <c r="AG606" s="1995"/>
      <c r="AH606" s="676"/>
      <c r="AI606" s="676"/>
      <c r="AJ606" s="676"/>
      <c r="AK606" s="676"/>
      <c r="AL606" s="676"/>
      <c r="AN606" s="631"/>
    </row>
    <row r="607" spans="2:47" s="584" customFormat="1" ht="12.75" customHeight="1">
      <c r="B607" s="570"/>
      <c r="C607" s="968"/>
      <c r="D607" s="676"/>
      <c r="E607" s="1995"/>
      <c r="F607" s="1995"/>
      <c r="G607" s="1995"/>
      <c r="H607" s="1995"/>
      <c r="I607" s="1995"/>
      <c r="J607" s="1995"/>
      <c r="K607" s="1995"/>
      <c r="L607" s="1995"/>
      <c r="M607" s="1995"/>
      <c r="N607" s="1995"/>
      <c r="O607" s="1995"/>
      <c r="P607" s="1995"/>
      <c r="Q607" s="1995"/>
      <c r="R607" s="1995"/>
      <c r="S607" s="1995"/>
      <c r="T607" s="1995"/>
      <c r="U607" s="1995"/>
      <c r="V607" s="1995"/>
      <c r="W607" s="1995"/>
      <c r="X607" s="1995"/>
      <c r="Y607" s="1995"/>
      <c r="Z607" s="1995"/>
      <c r="AA607" s="1995"/>
      <c r="AB607" s="1995"/>
      <c r="AC607" s="1995"/>
      <c r="AD607" s="1995"/>
      <c r="AE607" s="1995"/>
      <c r="AF607" s="1995"/>
      <c r="AG607" s="1995"/>
      <c r="AH607" s="676"/>
      <c r="AI607" s="676"/>
      <c r="AJ607" s="676"/>
      <c r="AK607" s="676"/>
      <c r="AL607" s="676"/>
      <c r="AN607" s="631"/>
    </row>
    <row r="608" spans="2:47" s="584" customFormat="1" ht="12.75" customHeight="1">
      <c r="B608" s="570"/>
      <c r="C608" s="968"/>
      <c r="D608" s="676"/>
      <c r="E608" s="1995"/>
      <c r="F608" s="1995"/>
      <c r="G608" s="1995"/>
      <c r="H608" s="1995"/>
      <c r="I608" s="1995"/>
      <c r="J608" s="1995"/>
      <c r="K608" s="1995"/>
      <c r="L608" s="1995"/>
      <c r="M608" s="1995"/>
      <c r="N608" s="1995"/>
      <c r="O608" s="1995"/>
      <c r="P608" s="1995"/>
      <c r="Q608" s="1995"/>
      <c r="R608" s="1995"/>
      <c r="S608" s="1995"/>
      <c r="T608" s="1995"/>
      <c r="U608" s="1995"/>
      <c r="V608" s="1995"/>
      <c r="W608" s="1995"/>
      <c r="X608" s="1995"/>
      <c r="Y608" s="1995"/>
      <c r="Z608" s="1995"/>
      <c r="AA608" s="1995"/>
      <c r="AB608" s="1995"/>
      <c r="AC608" s="1995"/>
      <c r="AD608" s="1995"/>
      <c r="AE608" s="1995"/>
      <c r="AF608" s="1995"/>
      <c r="AG608" s="199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5">
        <f>VLOOKUP($H$595,$AO$575:$AP$580,2,FALSE)+IF(R595=AO583,0,VLOOKUP($I$603,$AO$602:$AP$604,2,FALSE))</f>
        <v>4</v>
      </c>
      <c r="AK610" s="197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3" t="s">
        <v>1885</v>
      </c>
      <c r="F614" s="2023"/>
      <c r="G614" s="2023"/>
      <c r="H614" s="2023"/>
      <c r="I614" s="2023"/>
      <c r="J614" s="2023"/>
      <c r="K614" s="2023"/>
      <c r="L614" s="2023"/>
      <c r="M614" s="2023"/>
      <c r="N614" s="2023"/>
      <c r="O614" s="2023"/>
      <c r="P614" s="2023"/>
      <c r="Q614" s="2023"/>
      <c r="R614" s="2023"/>
      <c r="S614" s="2023"/>
      <c r="T614" s="2023"/>
      <c r="U614" s="2023"/>
      <c r="V614" s="2023"/>
      <c r="W614" s="2023"/>
      <c r="X614" s="2023"/>
      <c r="Y614" s="2023"/>
      <c r="Z614" s="2023"/>
      <c r="AA614" s="2023"/>
      <c r="AB614" s="2023"/>
      <c r="AC614" s="2023"/>
      <c r="AD614" s="2023"/>
      <c r="AE614" s="573"/>
      <c r="AF614" s="1942" t="s">
        <v>1464</v>
      </c>
      <c r="AG614" s="1942"/>
      <c r="AH614" s="1942"/>
      <c r="AI614" s="1942"/>
      <c r="AJ614" s="1942"/>
      <c r="AK614" s="1942"/>
      <c r="AL614" s="1942"/>
      <c r="AM614" s="584"/>
      <c r="AN614" s="712"/>
    </row>
    <row r="615" spans="1:42" s="584" customFormat="1" ht="12.75" customHeight="1">
      <c r="A615" s="713"/>
      <c r="B615" s="570"/>
      <c r="C615" s="968"/>
      <c r="D615" s="697"/>
      <c r="E615" s="2023"/>
      <c r="F615" s="2023"/>
      <c r="G615" s="2023"/>
      <c r="H615" s="2023"/>
      <c r="I615" s="2023"/>
      <c r="J615" s="2023"/>
      <c r="K615" s="2023"/>
      <c r="L615" s="2023"/>
      <c r="M615" s="2023"/>
      <c r="N615" s="2023"/>
      <c r="O615" s="2023"/>
      <c r="P615" s="2023"/>
      <c r="Q615" s="2023"/>
      <c r="R615" s="2023"/>
      <c r="S615" s="2023"/>
      <c r="T615" s="2023"/>
      <c r="U615" s="2023"/>
      <c r="V615" s="2023"/>
      <c r="W615" s="2023"/>
      <c r="X615" s="2023"/>
      <c r="Y615" s="2023"/>
      <c r="Z615" s="2023"/>
      <c r="AA615" s="2023"/>
      <c r="AB615" s="2023"/>
      <c r="AC615" s="2023"/>
      <c r="AD615" s="2023"/>
      <c r="AE615" s="570"/>
      <c r="AF615" s="570"/>
      <c r="AG615" s="570"/>
      <c r="AH615" s="570"/>
      <c r="AI615" s="570"/>
      <c r="AJ615" s="570"/>
      <c r="AK615" s="570"/>
      <c r="AL615" s="570"/>
      <c r="AN615" s="631"/>
    </row>
    <row r="616" spans="1:42" s="584" customFormat="1" ht="12.75" customHeight="1">
      <c r="B616" s="570"/>
      <c r="C616" s="966"/>
      <c r="D616" s="697"/>
      <c r="E616" s="2023"/>
      <c r="F616" s="2023"/>
      <c r="G616" s="2023"/>
      <c r="H616" s="2023"/>
      <c r="I616" s="2023"/>
      <c r="J616" s="2023"/>
      <c r="K616" s="2023"/>
      <c r="L616" s="2023"/>
      <c r="M616" s="2023"/>
      <c r="N616" s="2023"/>
      <c r="O616" s="2023"/>
      <c r="P616" s="2023"/>
      <c r="Q616" s="2023"/>
      <c r="R616" s="2023"/>
      <c r="S616" s="2023"/>
      <c r="T616" s="2023"/>
      <c r="U616" s="2023"/>
      <c r="V616" s="2023"/>
      <c r="W616" s="2023"/>
      <c r="X616" s="2023"/>
      <c r="Y616" s="2023"/>
      <c r="Z616" s="2023"/>
      <c r="AA616" s="2023"/>
      <c r="AB616" s="2023"/>
      <c r="AC616" s="2023"/>
      <c r="AD616" s="2023"/>
      <c r="AE616" s="570"/>
      <c r="AF616" s="570"/>
      <c r="AG616" s="570"/>
      <c r="AH616" s="570"/>
      <c r="AI616" s="570"/>
      <c r="AJ616" s="570"/>
      <c r="AK616" s="570"/>
      <c r="AL616" s="570"/>
      <c r="AN616" s="631"/>
    </row>
    <row r="617" spans="1:42" s="584" customFormat="1" ht="12.75" customHeight="1">
      <c r="B617" s="570"/>
      <c r="C617" s="966"/>
      <c r="D617" s="697"/>
      <c r="E617" s="2023"/>
      <c r="F617" s="2023"/>
      <c r="G617" s="2023"/>
      <c r="H617" s="2023"/>
      <c r="I617" s="2023"/>
      <c r="J617" s="2023"/>
      <c r="K617" s="2023"/>
      <c r="L617" s="2023"/>
      <c r="M617" s="2023"/>
      <c r="N617" s="2023"/>
      <c r="O617" s="2023"/>
      <c r="P617" s="2023"/>
      <c r="Q617" s="2023"/>
      <c r="R617" s="2023"/>
      <c r="S617" s="2023"/>
      <c r="T617" s="2023"/>
      <c r="U617" s="2023"/>
      <c r="V617" s="2023"/>
      <c r="W617" s="2023"/>
      <c r="X617" s="2023"/>
      <c r="Y617" s="2023"/>
      <c r="Z617" s="2023"/>
      <c r="AA617" s="2023"/>
      <c r="AB617" s="2023"/>
      <c r="AC617" s="2023"/>
      <c r="AD617" s="2023"/>
      <c r="AE617" s="570"/>
      <c r="AF617" s="570"/>
      <c r="AG617" s="570"/>
      <c r="AH617" s="570"/>
      <c r="AI617" s="570"/>
      <c r="AJ617" s="570"/>
      <c r="AK617" s="570"/>
      <c r="AL617" s="570"/>
      <c r="AN617" s="631"/>
    </row>
    <row r="618" spans="1:42" s="584" customFormat="1" ht="12.75" customHeight="1">
      <c r="B618" s="570"/>
      <c r="C618" s="966"/>
      <c r="D618" s="697"/>
      <c r="E618" s="2023"/>
      <c r="F618" s="2023"/>
      <c r="G618" s="2023"/>
      <c r="H618" s="2023"/>
      <c r="I618" s="2023"/>
      <c r="J618" s="2023"/>
      <c r="K618" s="2023"/>
      <c r="L618" s="2023"/>
      <c r="M618" s="2023"/>
      <c r="N618" s="2023"/>
      <c r="O618" s="2023"/>
      <c r="P618" s="2023"/>
      <c r="Q618" s="2023"/>
      <c r="R618" s="2023"/>
      <c r="S618" s="2023"/>
      <c r="T618" s="2023"/>
      <c r="U618" s="2023"/>
      <c r="V618" s="2023"/>
      <c r="W618" s="2023"/>
      <c r="X618" s="2023"/>
      <c r="Y618" s="2023"/>
      <c r="Z618" s="2023"/>
      <c r="AA618" s="2023"/>
      <c r="AB618" s="2023"/>
      <c r="AC618" s="2023"/>
      <c r="AD618" s="2023"/>
      <c r="AE618" s="570"/>
      <c r="AF618" s="570"/>
      <c r="AG618" s="570"/>
      <c r="AH618" s="570"/>
      <c r="AI618" s="570"/>
      <c r="AJ618" s="570"/>
      <c r="AK618" s="570"/>
      <c r="AL618" s="570"/>
      <c r="AN618" s="631"/>
    </row>
    <row r="619" spans="1:42" s="584" customFormat="1" ht="12.75" customHeight="1">
      <c r="B619" s="570"/>
      <c r="C619" s="966"/>
      <c r="D619" s="697"/>
      <c r="E619" s="2023"/>
      <c r="F619" s="2023"/>
      <c r="G619" s="2023"/>
      <c r="H619" s="2023"/>
      <c r="I619" s="2023"/>
      <c r="J619" s="2023"/>
      <c r="K619" s="2023"/>
      <c r="L619" s="2023"/>
      <c r="M619" s="2023"/>
      <c r="N619" s="2023"/>
      <c r="O619" s="2023"/>
      <c r="P619" s="2023"/>
      <c r="Q619" s="2023"/>
      <c r="R619" s="2023"/>
      <c r="S619" s="2023"/>
      <c r="T619" s="2023"/>
      <c r="U619" s="2023"/>
      <c r="V619" s="2023"/>
      <c r="W619" s="2023"/>
      <c r="X619" s="2023"/>
      <c r="Y619" s="2023"/>
      <c r="Z619" s="2023"/>
      <c r="AA619" s="2023"/>
      <c r="AB619" s="2023"/>
      <c r="AC619" s="2023"/>
      <c r="AD619" s="2023"/>
      <c r="AE619" s="570"/>
      <c r="AF619" s="570"/>
      <c r="AG619" s="570"/>
      <c r="AH619" s="570"/>
      <c r="AI619" s="570"/>
      <c r="AJ619" s="570"/>
      <c r="AK619" s="570"/>
      <c r="AL619" s="570"/>
      <c r="AN619" s="631"/>
    </row>
    <row r="620" spans="1:42" s="584" customFormat="1" ht="12.75" customHeight="1">
      <c r="A620" s="671"/>
      <c r="B620" s="650"/>
      <c r="C620" s="975"/>
      <c r="D620" s="697"/>
      <c r="E620" s="2023"/>
      <c r="F620" s="2023"/>
      <c r="G620" s="2023"/>
      <c r="H620" s="2023"/>
      <c r="I620" s="2023"/>
      <c r="J620" s="2023"/>
      <c r="K620" s="2023"/>
      <c r="L620" s="2023"/>
      <c r="M620" s="2023"/>
      <c r="N620" s="2023"/>
      <c r="O620" s="2023"/>
      <c r="P620" s="2023"/>
      <c r="Q620" s="2023"/>
      <c r="R620" s="2023"/>
      <c r="S620" s="2023"/>
      <c r="T620" s="2023"/>
      <c r="U620" s="2023"/>
      <c r="V620" s="2023"/>
      <c r="W620" s="2023"/>
      <c r="X620" s="2023"/>
      <c r="Y620" s="2023"/>
      <c r="Z620" s="2023"/>
      <c r="AA620" s="2023"/>
      <c r="AB620" s="2023"/>
      <c r="AC620" s="2023"/>
      <c r="AD620" s="2023"/>
      <c r="AE620" s="650"/>
      <c r="AF620" s="650"/>
      <c r="AG620" s="650"/>
      <c r="AH620" s="650"/>
      <c r="AI620" s="650"/>
      <c r="AJ620" s="650"/>
      <c r="AK620" s="570"/>
      <c r="AL620" s="570"/>
      <c r="AN620" s="631"/>
    </row>
    <row r="621" spans="1:42" s="584" customFormat="1" ht="12.75" customHeight="1">
      <c r="B621" s="650"/>
      <c r="C621" s="975"/>
      <c r="D621" s="697"/>
      <c r="E621" s="2023"/>
      <c r="F621" s="2023"/>
      <c r="G621" s="2023"/>
      <c r="H621" s="2023"/>
      <c r="I621" s="2023"/>
      <c r="J621" s="2023"/>
      <c r="K621" s="2023"/>
      <c r="L621" s="2023"/>
      <c r="M621" s="2023"/>
      <c r="N621" s="2023"/>
      <c r="O621" s="2023"/>
      <c r="P621" s="2023"/>
      <c r="Q621" s="2023"/>
      <c r="R621" s="2023"/>
      <c r="S621" s="2023"/>
      <c r="T621" s="2023"/>
      <c r="U621" s="2023"/>
      <c r="V621" s="2023"/>
      <c r="W621" s="2023"/>
      <c r="X621" s="2023"/>
      <c r="Y621" s="2023"/>
      <c r="Z621" s="2023"/>
      <c r="AA621" s="2023"/>
      <c r="AB621" s="2023"/>
      <c r="AC621" s="2023"/>
      <c r="AD621" s="202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9" t="s">
        <v>600</v>
      </c>
      <c r="Y623" s="1969"/>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2" t="s">
        <v>1520</v>
      </c>
      <c r="AG625" s="1942"/>
      <c r="AH625" s="1942"/>
      <c r="AI625" s="1942"/>
      <c r="AJ625" s="1942"/>
      <c r="AK625" s="1942"/>
      <c r="AL625" s="194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4" t="s">
        <v>697</v>
      </c>
      <c r="I627" s="202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5">
        <f>VLOOKUP($H$627,$AO$594:$AP$596,2,FALSE)</f>
        <v>3</v>
      </c>
      <c r="AK629" s="1977"/>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5" t="s">
        <v>2412</v>
      </c>
      <c r="F633" s="1995"/>
      <c r="G633" s="1995"/>
      <c r="H633" s="1995"/>
      <c r="I633" s="1995"/>
      <c r="J633" s="1995"/>
      <c r="K633" s="1995"/>
      <c r="L633" s="1995"/>
      <c r="M633" s="1995"/>
      <c r="N633" s="1995"/>
      <c r="O633" s="1995"/>
      <c r="P633" s="1995"/>
      <c r="Q633" s="1995"/>
      <c r="R633" s="1995"/>
      <c r="S633" s="1995"/>
      <c r="T633" s="1995"/>
      <c r="U633" s="1995"/>
      <c r="V633" s="1995"/>
      <c r="W633" s="1995"/>
      <c r="X633" s="1995"/>
      <c r="Y633" s="1995"/>
      <c r="Z633" s="1995"/>
      <c r="AA633" s="1995"/>
      <c r="AB633" s="1995"/>
      <c r="AC633" s="1995"/>
      <c r="AD633" s="1995"/>
      <c r="AE633" s="570"/>
      <c r="AF633" s="1942" t="s">
        <v>1464</v>
      </c>
      <c r="AG633" s="1942"/>
      <c r="AH633" s="1942"/>
      <c r="AI633" s="1942"/>
      <c r="AJ633" s="1942"/>
      <c r="AK633" s="1942"/>
      <c r="AL633" s="1942"/>
      <c r="AN633" s="631"/>
    </row>
    <row r="634" spans="1:42" s="584" customFormat="1" ht="12.75" customHeight="1">
      <c r="B634" s="570"/>
      <c r="C634" s="570"/>
      <c r="D634" s="697"/>
      <c r="E634" s="1995"/>
      <c r="F634" s="1995"/>
      <c r="G634" s="1995"/>
      <c r="H634" s="1995"/>
      <c r="I634" s="1995"/>
      <c r="J634" s="1995"/>
      <c r="K634" s="1995"/>
      <c r="L634" s="1995"/>
      <c r="M634" s="1995"/>
      <c r="N634" s="1995"/>
      <c r="O634" s="1995"/>
      <c r="P634" s="1995"/>
      <c r="Q634" s="1995"/>
      <c r="R634" s="1995"/>
      <c r="S634" s="1995"/>
      <c r="T634" s="1995"/>
      <c r="U634" s="1995"/>
      <c r="V634" s="1995"/>
      <c r="W634" s="1995"/>
      <c r="X634" s="1995"/>
      <c r="Y634" s="1995"/>
      <c r="Z634" s="1995"/>
      <c r="AA634" s="1995"/>
      <c r="AB634" s="1995"/>
      <c r="AC634" s="1995"/>
      <c r="AD634" s="199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2" t="s">
        <v>1520</v>
      </c>
      <c r="AG636" s="1942"/>
      <c r="AH636" s="1942"/>
      <c r="AI636" s="1942"/>
      <c r="AJ636" s="1942"/>
      <c r="AK636" s="1942"/>
      <c r="AL636" s="1942"/>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4" t="s">
        <v>600</v>
      </c>
      <c r="I639" s="202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5">
        <f>VLOOKUP(H639,AT594:AU596,2,FALSE)</f>
        <v>0</v>
      </c>
      <c r="AK641" s="197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5" t="s">
        <v>1530</v>
      </c>
      <c r="F646" s="1995"/>
      <c r="G646" s="1995"/>
      <c r="H646" s="1995"/>
      <c r="I646" s="1995"/>
      <c r="J646" s="1995"/>
      <c r="K646" s="1995"/>
      <c r="L646" s="1995"/>
      <c r="M646" s="1995"/>
      <c r="N646" s="1995"/>
      <c r="O646" s="1995"/>
      <c r="P646" s="1995"/>
      <c r="Q646" s="1995"/>
      <c r="R646" s="1995"/>
      <c r="S646" s="1995"/>
      <c r="T646" s="1995"/>
      <c r="U646" s="1995"/>
      <c r="V646" s="1995"/>
      <c r="W646" s="1995"/>
      <c r="X646" s="1995"/>
      <c r="Y646" s="1995"/>
      <c r="Z646" s="1995"/>
      <c r="AA646" s="1995"/>
      <c r="AB646" s="1995"/>
      <c r="AC646" s="1995"/>
      <c r="AD646" s="570"/>
      <c r="AE646" s="570"/>
      <c r="AF646" s="1942" t="s">
        <v>1490</v>
      </c>
      <c r="AG646" s="1942"/>
      <c r="AH646" s="1942"/>
      <c r="AI646" s="1942"/>
      <c r="AJ646" s="1942"/>
      <c r="AK646" s="1942"/>
      <c r="AL646" s="1942"/>
      <c r="AN646" s="631"/>
    </row>
    <row r="647" spans="1:42" s="584" customFormat="1" ht="12.75" customHeight="1">
      <c r="B647" s="570"/>
      <c r="C647" s="573"/>
      <c r="D647" s="570"/>
      <c r="E647" s="1995"/>
      <c r="F647" s="1995"/>
      <c r="G647" s="1995"/>
      <c r="H647" s="1995"/>
      <c r="I647" s="1995"/>
      <c r="J647" s="1995"/>
      <c r="K647" s="1995"/>
      <c r="L647" s="1995"/>
      <c r="M647" s="1995"/>
      <c r="N647" s="1995"/>
      <c r="O647" s="1995"/>
      <c r="P647" s="1995"/>
      <c r="Q647" s="1995"/>
      <c r="R647" s="1995"/>
      <c r="S647" s="1995"/>
      <c r="T647" s="1995"/>
      <c r="U647" s="1995"/>
      <c r="V647" s="1995"/>
      <c r="W647" s="1995"/>
      <c r="X647" s="1995"/>
      <c r="Y647" s="1995"/>
      <c r="Z647" s="1995"/>
      <c r="AA647" s="1995"/>
      <c r="AB647" s="1995"/>
      <c r="AC647" s="1995"/>
      <c r="AD647" s="570"/>
      <c r="AE647" s="570"/>
      <c r="AF647" s="570"/>
      <c r="AG647" s="570"/>
      <c r="AH647" s="570"/>
      <c r="AI647" s="570"/>
      <c r="AJ647" s="570"/>
      <c r="AK647" s="570"/>
      <c r="AL647" s="570"/>
      <c r="AN647" s="631"/>
    </row>
    <row r="648" spans="1:42" s="584" customFormat="1" ht="12.75" customHeight="1">
      <c r="B648" s="570"/>
      <c r="C648" s="573"/>
      <c r="D648" s="697"/>
      <c r="E648" s="1995"/>
      <c r="F648" s="1995"/>
      <c r="G648" s="1995"/>
      <c r="H648" s="1995"/>
      <c r="I648" s="1995"/>
      <c r="J648" s="1995"/>
      <c r="K648" s="1995"/>
      <c r="L648" s="1995"/>
      <c r="M648" s="1995"/>
      <c r="N648" s="1995"/>
      <c r="O648" s="1995"/>
      <c r="P648" s="1995"/>
      <c r="Q648" s="1995"/>
      <c r="R648" s="1995"/>
      <c r="S648" s="1995"/>
      <c r="T648" s="1995"/>
      <c r="U648" s="1995"/>
      <c r="V648" s="1995"/>
      <c r="W648" s="1995"/>
      <c r="X648" s="1995"/>
      <c r="Y648" s="1995"/>
      <c r="Z648" s="1995"/>
      <c r="AA648" s="1995"/>
      <c r="AB648" s="1995"/>
      <c r="AC648" s="199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5" t="s">
        <v>1531</v>
      </c>
      <c r="F650" s="1995"/>
      <c r="G650" s="1995"/>
      <c r="H650" s="1995"/>
      <c r="I650" s="1995"/>
      <c r="J650" s="1995"/>
      <c r="K650" s="1995"/>
      <c r="L650" s="1995"/>
      <c r="M650" s="1995"/>
      <c r="N650" s="1995"/>
      <c r="O650" s="1995"/>
      <c r="P650" s="1995"/>
      <c r="Q650" s="1995"/>
      <c r="R650" s="1995"/>
      <c r="S650" s="1995"/>
      <c r="T650" s="1995"/>
      <c r="U650" s="1995"/>
      <c r="V650" s="1995"/>
      <c r="W650" s="1995"/>
      <c r="X650" s="1995"/>
      <c r="Y650" s="1995"/>
      <c r="Z650" s="1995"/>
      <c r="AA650" s="1995"/>
      <c r="AB650" s="1995"/>
      <c r="AC650" s="1995"/>
      <c r="AD650" s="570"/>
      <c r="AE650" s="570"/>
      <c r="AF650" s="1942" t="s">
        <v>1511</v>
      </c>
      <c r="AG650" s="1942"/>
      <c r="AH650" s="1942"/>
      <c r="AI650" s="1942"/>
      <c r="AJ650" s="1942"/>
      <c r="AK650" s="1942"/>
      <c r="AL650" s="1942"/>
      <c r="AN650" s="631"/>
    </row>
    <row r="651" spans="1:42" s="584" customFormat="1" ht="12.75" customHeight="1">
      <c r="B651" s="570"/>
      <c r="C651" s="573"/>
      <c r="D651" s="570"/>
      <c r="E651" s="1995"/>
      <c r="F651" s="1995"/>
      <c r="G651" s="1995"/>
      <c r="H651" s="1995"/>
      <c r="I651" s="1995"/>
      <c r="J651" s="1995"/>
      <c r="K651" s="1995"/>
      <c r="L651" s="1995"/>
      <c r="M651" s="1995"/>
      <c r="N651" s="1995"/>
      <c r="O651" s="1995"/>
      <c r="P651" s="1995"/>
      <c r="Q651" s="1995"/>
      <c r="R651" s="1995"/>
      <c r="S651" s="1995"/>
      <c r="T651" s="1995"/>
      <c r="U651" s="1995"/>
      <c r="V651" s="1995"/>
      <c r="W651" s="1995"/>
      <c r="X651" s="1995"/>
      <c r="Y651" s="1995"/>
      <c r="Z651" s="1995"/>
      <c r="AA651" s="1995"/>
      <c r="AB651" s="1995"/>
      <c r="AC651" s="1995"/>
      <c r="AD651" s="570"/>
      <c r="AE651" s="570"/>
      <c r="AF651" s="570"/>
      <c r="AG651" s="570"/>
      <c r="AH651" s="570"/>
      <c r="AI651" s="570"/>
      <c r="AJ651" s="570"/>
      <c r="AK651" s="570"/>
      <c r="AL651" s="570"/>
      <c r="AN651" s="631"/>
    </row>
    <row r="652" spans="1:42" s="584" customFormat="1" ht="15" customHeight="1">
      <c r="B652" s="570"/>
      <c r="C652" s="573"/>
      <c r="D652" s="697"/>
      <c r="E652" s="1995"/>
      <c r="F652" s="1995"/>
      <c r="G652" s="1995"/>
      <c r="H652" s="1995"/>
      <c r="I652" s="1995"/>
      <c r="J652" s="1995"/>
      <c r="K652" s="1995"/>
      <c r="L652" s="1995"/>
      <c r="M652" s="1995"/>
      <c r="N652" s="1995"/>
      <c r="O652" s="1995"/>
      <c r="P652" s="1995"/>
      <c r="Q652" s="1995"/>
      <c r="R652" s="1995"/>
      <c r="S652" s="1995"/>
      <c r="T652" s="1995"/>
      <c r="U652" s="1995"/>
      <c r="V652" s="1995"/>
      <c r="W652" s="1995"/>
      <c r="X652" s="1995"/>
      <c r="Y652" s="1995"/>
      <c r="Z652" s="1995"/>
      <c r="AA652" s="1995"/>
      <c r="AB652" s="1995"/>
      <c r="AC652" s="199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5" t="s">
        <v>1532</v>
      </c>
      <c r="F654" s="1995"/>
      <c r="G654" s="1995"/>
      <c r="H654" s="1995"/>
      <c r="I654" s="1995"/>
      <c r="J654" s="1995"/>
      <c r="K654" s="1995"/>
      <c r="L654" s="1995"/>
      <c r="M654" s="1995"/>
      <c r="N654" s="1995"/>
      <c r="O654" s="1995"/>
      <c r="P654" s="1995"/>
      <c r="Q654" s="1995"/>
      <c r="R654" s="1995"/>
      <c r="S654" s="1995"/>
      <c r="T654" s="1995"/>
      <c r="U654" s="1995"/>
      <c r="V654" s="1995"/>
      <c r="W654" s="1995"/>
      <c r="X654" s="1995"/>
      <c r="Y654" s="1995"/>
      <c r="Z654" s="1995"/>
      <c r="AA654" s="1995"/>
      <c r="AB654" s="1995"/>
      <c r="AC654" s="1995"/>
      <c r="AD654" s="570"/>
      <c r="AE654" s="570"/>
      <c r="AF654" s="1942" t="s">
        <v>1464</v>
      </c>
      <c r="AG654" s="1942"/>
      <c r="AH654" s="1942"/>
      <c r="AI654" s="1942"/>
      <c r="AJ654" s="1942"/>
      <c r="AK654" s="1942"/>
      <c r="AL654" s="1942"/>
      <c r="AN654" s="631"/>
    </row>
    <row r="655" spans="1:42" s="584" customFormat="1" ht="12.75" customHeight="1">
      <c r="B655" s="570"/>
      <c r="C655" s="966"/>
      <c r="D655" s="570"/>
      <c r="E655" s="1995"/>
      <c r="F655" s="1995"/>
      <c r="G655" s="1995"/>
      <c r="H655" s="1995"/>
      <c r="I655" s="1995"/>
      <c r="J655" s="1995"/>
      <c r="K655" s="1995"/>
      <c r="L655" s="1995"/>
      <c r="M655" s="1995"/>
      <c r="N655" s="1995"/>
      <c r="O655" s="1995"/>
      <c r="P655" s="1995"/>
      <c r="Q655" s="1995"/>
      <c r="R655" s="1995"/>
      <c r="S655" s="1995"/>
      <c r="T655" s="1995"/>
      <c r="U655" s="1995"/>
      <c r="V655" s="1995"/>
      <c r="W655" s="1995"/>
      <c r="X655" s="1995"/>
      <c r="Y655" s="1995"/>
      <c r="Z655" s="1995"/>
      <c r="AA655" s="1995"/>
      <c r="AB655" s="1995"/>
      <c r="AC655" s="1995"/>
      <c r="AD655" s="570"/>
      <c r="AE655" s="1942"/>
      <c r="AF655" s="1942"/>
      <c r="AG655" s="1942"/>
      <c r="AH655" s="1942"/>
      <c r="AI655" s="1942"/>
      <c r="AJ655" s="1942"/>
      <c r="AK655" s="1942"/>
      <c r="AL655" s="628"/>
      <c r="AN655" s="631"/>
      <c r="AO655" s="584" t="s">
        <v>600</v>
      </c>
      <c r="AP655" s="707">
        <v>0</v>
      </c>
    </row>
    <row r="656" spans="1:42" s="584" customFormat="1" ht="12.75" customHeight="1">
      <c r="A656" s="713"/>
      <c r="B656" s="570"/>
      <c r="C656" s="570"/>
      <c r="D656" s="697"/>
      <c r="E656" s="1995"/>
      <c r="F656" s="1995"/>
      <c r="G656" s="1995"/>
      <c r="H656" s="1995"/>
      <c r="I656" s="1995"/>
      <c r="J656" s="1995"/>
      <c r="K656" s="1995"/>
      <c r="L656" s="1995"/>
      <c r="M656" s="1995"/>
      <c r="N656" s="1995"/>
      <c r="O656" s="1995"/>
      <c r="P656" s="1995"/>
      <c r="Q656" s="1995"/>
      <c r="R656" s="1995"/>
      <c r="S656" s="1995"/>
      <c r="T656" s="1995"/>
      <c r="U656" s="1995"/>
      <c r="V656" s="1995"/>
      <c r="W656" s="1995"/>
      <c r="X656" s="1995"/>
      <c r="Y656" s="1995"/>
      <c r="Z656" s="1995"/>
      <c r="AA656" s="1995"/>
      <c r="AB656" s="1995"/>
      <c r="AC656" s="199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5" t="s">
        <v>1533</v>
      </c>
      <c r="F658" s="1995"/>
      <c r="G658" s="1995"/>
      <c r="H658" s="1995"/>
      <c r="I658" s="1995"/>
      <c r="J658" s="1995"/>
      <c r="K658" s="1995"/>
      <c r="L658" s="1995"/>
      <c r="M658" s="1995"/>
      <c r="N658" s="1995"/>
      <c r="O658" s="1995"/>
      <c r="P658" s="1995"/>
      <c r="Q658" s="1995"/>
      <c r="R658" s="1995"/>
      <c r="S658" s="1995"/>
      <c r="T658" s="1995"/>
      <c r="U658" s="1995"/>
      <c r="V658" s="1995"/>
      <c r="W658" s="1995"/>
      <c r="X658" s="1995"/>
      <c r="Y658" s="1995"/>
      <c r="Z658" s="1995"/>
      <c r="AA658" s="1995"/>
      <c r="AB658" s="1995"/>
      <c r="AC658" s="1995"/>
      <c r="AD658" s="570"/>
      <c r="AE658" s="570"/>
      <c r="AF658" s="1942" t="s">
        <v>1511</v>
      </c>
      <c r="AG658" s="1942"/>
      <c r="AH658" s="1942"/>
      <c r="AI658" s="1942"/>
      <c r="AJ658" s="1942"/>
      <c r="AK658" s="1942"/>
      <c r="AL658" s="1942"/>
      <c r="AN658" s="631"/>
    </row>
    <row r="659" spans="1:42" s="584" customFormat="1" ht="12.75" customHeight="1">
      <c r="A659" s="704"/>
      <c r="B659" s="570"/>
      <c r="C659" s="982"/>
      <c r="D659" s="697"/>
      <c r="E659" s="1995"/>
      <c r="F659" s="1995"/>
      <c r="G659" s="1995"/>
      <c r="H659" s="1995"/>
      <c r="I659" s="1995"/>
      <c r="J659" s="1995"/>
      <c r="K659" s="1995"/>
      <c r="L659" s="1995"/>
      <c r="M659" s="1995"/>
      <c r="N659" s="1995"/>
      <c r="O659" s="1995"/>
      <c r="P659" s="1995"/>
      <c r="Q659" s="1995"/>
      <c r="R659" s="1995"/>
      <c r="S659" s="1995"/>
      <c r="T659" s="1995"/>
      <c r="U659" s="1995"/>
      <c r="V659" s="1995"/>
      <c r="W659" s="1995"/>
      <c r="X659" s="1995"/>
      <c r="Y659" s="1995"/>
      <c r="Z659" s="1995"/>
      <c r="AA659" s="1995"/>
      <c r="AB659" s="1995"/>
      <c r="AC659" s="199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5"/>
      <c r="F660" s="1995"/>
      <c r="G660" s="1995"/>
      <c r="H660" s="1995"/>
      <c r="I660" s="1995"/>
      <c r="J660" s="1995"/>
      <c r="K660" s="1995"/>
      <c r="L660" s="1995"/>
      <c r="M660" s="1995"/>
      <c r="N660" s="1995"/>
      <c r="O660" s="1995"/>
      <c r="P660" s="1995"/>
      <c r="Q660" s="1995"/>
      <c r="R660" s="1995"/>
      <c r="S660" s="1995"/>
      <c r="T660" s="1995"/>
      <c r="U660" s="1995"/>
      <c r="V660" s="1995"/>
      <c r="W660" s="1995"/>
      <c r="X660" s="1995"/>
      <c r="Y660" s="1995"/>
      <c r="Z660" s="1995"/>
      <c r="AA660" s="1995"/>
      <c r="AB660" s="1995"/>
      <c r="AC660" s="199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5" t="s">
        <v>1534</v>
      </c>
      <c r="F662" s="1995"/>
      <c r="G662" s="1995"/>
      <c r="H662" s="1995"/>
      <c r="I662" s="1995"/>
      <c r="J662" s="1995"/>
      <c r="K662" s="1995"/>
      <c r="L662" s="1995"/>
      <c r="M662" s="1995"/>
      <c r="N662" s="1995"/>
      <c r="O662" s="1995"/>
      <c r="P662" s="1995"/>
      <c r="Q662" s="1995"/>
      <c r="R662" s="1995"/>
      <c r="S662" s="1995"/>
      <c r="T662" s="1995"/>
      <c r="U662" s="1995"/>
      <c r="V662" s="1995"/>
      <c r="W662" s="1995"/>
      <c r="X662" s="1995"/>
      <c r="Y662" s="1995"/>
      <c r="Z662" s="1995"/>
      <c r="AA662" s="1995"/>
      <c r="AB662" s="1995"/>
      <c r="AC662" s="1995"/>
      <c r="AD662" s="570"/>
      <c r="AE662" s="570"/>
      <c r="AF662" s="1942" t="s">
        <v>1464</v>
      </c>
      <c r="AG662" s="1942"/>
      <c r="AH662" s="1942"/>
      <c r="AI662" s="1942"/>
      <c r="AJ662" s="1942"/>
      <c r="AK662" s="1942"/>
      <c r="AL662" s="1942"/>
      <c r="AM662" s="630"/>
      <c r="AN662" s="631"/>
    </row>
    <row r="663" spans="1:42" s="584" customFormat="1" ht="12.75" customHeight="1">
      <c r="B663" s="570"/>
      <c r="C663" s="966"/>
      <c r="D663" s="697"/>
      <c r="E663" s="1995"/>
      <c r="F663" s="1995"/>
      <c r="G663" s="1995"/>
      <c r="H663" s="1995"/>
      <c r="I663" s="1995"/>
      <c r="J663" s="1995"/>
      <c r="K663" s="1995"/>
      <c r="L663" s="1995"/>
      <c r="M663" s="1995"/>
      <c r="N663" s="1995"/>
      <c r="O663" s="1995"/>
      <c r="P663" s="1995"/>
      <c r="Q663" s="1995"/>
      <c r="R663" s="1995"/>
      <c r="S663" s="1995"/>
      <c r="T663" s="1995"/>
      <c r="U663" s="1995"/>
      <c r="V663" s="1995"/>
      <c r="W663" s="1995"/>
      <c r="X663" s="1995"/>
      <c r="Y663" s="1995"/>
      <c r="Z663" s="1995"/>
      <c r="AA663" s="1995"/>
      <c r="AB663" s="1995"/>
      <c r="AC663" s="1995"/>
      <c r="AD663" s="570"/>
      <c r="AE663" s="570"/>
      <c r="AF663" s="570"/>
      <c r="AG663" s="570"/>
      <c r="AH663" s="570"/>
      <c r="AI663" s="570"/>
      <c r="AJ663" s="570"/>
      <c r="AK663" s="570"/>
      <c r="AL663" s="570"/>
      <c r="AM663" s="630"/>
      <c r="AN663" s="631"/>
    </row>
    <row r="664" spans="1:42" s="584" customFormat="1" ht="12.75" customHeight="1">
      <c r="B664" s="570"/>
      <c r="C664" s="966"/>
      <c r="D664" s="697"/>
      <c r="E664" s="1995"/>
      <c r="F664" s="1995"/>
      <c r="G664" s="1995"/>
      <c r="H664" s="1995"/>
      <c r="I664" s="1995"/>
      <c r="J664" s="1995"/>
      <c r="K664" s="1995"/>
      <c r="L664" s="1995"/>
      <c r="M664" s="1995"/>
      <c r="N664" s="1995"/>
      <c r="O664" s="1995"/>
      <c r="P664" s="1995"/>
      <c r="Q664" s="1995"/>
      <c r="R664" s="1995"/>
      <c r="S664" s="1995"/>
      <c r="T664" s="1995"/>
      <c r="U664" s="1995"/>
      <c r="V664" s="1995"/>
      <c r="W664" s="1995"/>
      <c r="X664" s="1995"/>
      <c r="Y664" s="1995"/>
      <c r="Z664" s="1995"/>
      <c r="AA664" s="1995"/>
      <c r="AB664" s="1995"/>
      <c r="AC664" s="199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5" t="s">
        <v>1535</v>
      </c>
      <c r="F666" s="1995"/>
      <c r="G666" s="1995"/>
      <c r="H666" s="1995"/>
      <c r="I666" s="1995"/>
      <c r="J666" s="1995"/>
      <c r="K666" s="1995"/>
      <c r="L666" s="1995"/>
      <c r="M666" s="1995"/>
      <c r="N666" s="1995"/>
      <c r="O666" s="1995"/>
      <c r="P666" s="1995"/>
      <c r="Q666" s="1995"/>
      <c r="R666" s="1995"/>
      <c r="S666" s="1995"/>
      <c r="T666" s="1995"/>
      <c r="U666" s="1995"/>
      <c r="V666" s="1995"/>
      <c r="W666" s="1995"/>
      <c r="X666" s="1995"/>
      <c r="Y666" s="1995"/>
      <c r="Z666" s="1995"/>
      <c r="AA666" s="1995"/>
      <c r="AB666" s="1995"/>
      <c r="AC666" s="1995"/>
      <c r="AD666" s="570"/>
      <c r="AE666" s="570"/>
      <c r="AF666" s="1942" t="s">
        <v>1520</v>
      </c>
      <c r="AG666" s="1942"/>
      <c r="AH666" s="1942"/>
      <c r="AI666" s="1942"/>
      <c r="AJ666" s="1942"/>
      <c r="AK666" s="1942"/>
      <c r="AL666" s="1942"/>
      <c r="AM666" s="630"/>
      <c r="AN666" s="631"/>
    </row>
    <row r="667" spans="1:42" s="584" customFormat="1" ht="12.75" customHeight="1">
      <c r="A667" s="713"/>
      <c r="B667" s="570"/>
      <c r="C667" s="966"/>
      <c r="D667" s="697"/>
      <c r="E667" s="1995"/>
      <c r="F667" s="1995"/>
      <c r="G667" s="1995"/>
      <c r="H667" s="1995"/>
      <c r="I667" s="1995"/>
      <c r="J667" s="1995"/>
      <c r="K667" s="1995"/>
      <c r="L667" s="1995"/>
      <c r="M667" s="1995"/>
      <c r="N667" s="1995"/>
      <c r="O667" s="1995"/>
      <c r="P667" s="1995"/>
      <c r="Q667" s="1995"/>
      <c r="R667" s="1995"/>
      <c r="S667" s="1995"/>
      <c r="T667" s="1995"/>
      <c r="U667" s="1995"/>
      <c r="V667" s="1995"/>
      <c r="W667" s="1995"/>
      <c r="X667" s="1995"/>
      <c r="Y667" s="1995"/>
      <c r="Z667" s="1995"/>
      <c r="AA667" s="1995"/>
      <c r="AB667" s="1995"/>
      <c r="AC667" s="199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5"/>
      <c r="F668" s="1995"/>
      <c r="G668" s="1995"/>
      <c r="H668" s="1995"/>
      <c r="I668" s="1995"/>
      <c r="J668" s="1995"/>
      <c r="K668" s="1995"/>
      <c r="L668" s="1995"/>
      <c r="M668" s="1995"/>
      <c r="N668" s="1995"/>
      <c r="O668" s="1995"/>
      <c r="P668" s="1995"/>
      <c r="Q668" s="1995"/>
      <c r="R668" s="1995"/>
      <c r="S668" s="1995"/>
      <c r="T668" s="1995"/>
      <c r="U668" s="1995"/>
      <c r="V668" s="1995"/>
      <c r="W668" s="1995"/>
      <c r="X668" s="1995"/>
      <c r="Y668" s="1995"/>
      <c r="Z668" s="1995"/>
      <c r="AA668" s="1995"/>
      <c r="AB668" s="1995"/>
      <c r="AC668" s="199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5" t="s">
        <v>1536</v>
      </c>
      <c r="F670" s="1995"/>
      <c r="G670" s="1995"/>
      <c r="H670" s="1995"/>
      <c r="I670" s="1995"/>
      <c r="J670" s="1995"/>
      <c r="K670" s="1995"/>
      <c r="L670" s="1995"/>
      <c r="M670" s="1995"/>
      <c r="N670" s="1995"/>
      <c r="O670" s="1995"/>
      <c r="P670" s="1995"/>
      <c r="Q670" s="1995"/>
      <c r="R670" s="1995"/>
      <c r="S670" s="1995"/>
      <c r="T670" s="1995"/>
      <c r="U670" s="1995"/>
      <c r="V670" s="1995"/>
      <c r="W670" s="1995"/>
      <c r="X670" s="1995"/>
      <c r="Y670" s="1995"/>
      <c r="Z670" s="1995"/>
      <c r="AA670" s="1995"/>
      <c r="AB670" s="1995"/>
      <c r="AC670" s="1995"/>
      <c r="AD670" s="570"/>
      <c r="AE670" s="570"/>
      <c r="AF670" s="1942" t="s">
        <v>1537</v>
      </c>
      <c r="AG670" s="1942"/>
      <c r="AH670" s="1942"/>
      <c r="AI670" s="1942"/>
      <c r="AJ670" s="1942"/>
      <c r="AK670" s="1942"/>
      <c r="AL670" s="1942"/>
      <c r="AM670" s="630"/>
      <c r="AN670" s="631"/>
      <c r="AO670" s="645" t="s">
        <v>697</v>
      </c>
      <c r="AP670" s="584">
        <v>3</v>
      </c>
    </row>
    <row r="671" spans="1:42" s="584" customFormat="1" ht="12.75" customHeight="1">
      <c r="A671" s="713"/>
      <c r="B671" s="570"/>
      <c r="C671" s="966"/>
      <c r="D671" s="697"/>
      <c r="E671" s="1995"/>
      <c r="F671" s="1995"/>
      <c r="G671" s="1995"/>
      <c r="H671" s="1995"/>
      <c r="I671" s="1995"/>
      <c r="J671" s="1995"/>
      <c r="K671" s="1995"/>
      <c r="L671" s="1995"/>
      <c r="M671" s="1995"/>
      <c r="N671" s="1995"/>
      <c r="O671" s="1995"/>
      <c r="P671" s="1995"/>
      <c r="Q671" s="1995"/>
      <c r="R671" s="1995"/>
      <c r="S671" s="1995"/>
      <c r="T671" s="1995"/>
      <c r="U671" s="1995"/>
      <c r="V671" s="1995"/>
      <c r="W671" s="1995"/>
      <c r="X671" s="1995"/>
      <c r="Y671" s="1995"/>
      <c r="Z671" s="1995"/>
      <c r="AA671" s="1995"/>
      <c r="AB671" s="1995"/>
      <c r="AC671" s="199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5"/>
      <c r="F672" s="1995"/>
      <c r="G672" s="1995"/>
      <c r="H672" s="1995"/>
      <c r="I672" s="1995"/>
      <c r="J672" s="1995"/>
      <c r="K672" s="1995"/>
      <c r="L672" s="1995"/>
      <c r="M672" s="1995"/>
      <c r="N672" s="1995"/>
      <c r="O672" s="1995"/>
      <c r="P672" s="1995"/>
      <c r="Q672" s="1995"/>
      <c r="R672" s="1995"/>
      <c r="S672" s="1995"/>
      <c r="T672" s="1995"/>
      <c r="U672" s="1995"/>
      <c r="V672" s="1995"/>
      <c r="W672" s="1995"/>
      <c r="X672" s="1995"/>
      <c r="Y672" s="1995"/>
      <c r="Z672" s="1995"/>
      <c r="AA672" s="1995"/>
      <c r="AB672" s="1995"/>
      <c r="AC672" s="199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4" t="s">
        <v>518</v>
      </c>
      <c r="I674" s="202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5">
        <f>VLOOKUP($H$674,$AO$622:$AP$629,2,FALSE)</f>
        <v>4</v>
      </c>
      <c r="AK676" s="197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170</v>
      </c>
    </row>
    <row r="680" spans="1:51" s="584" customFormat="1" ht="12.75" customHeight="1">
      <c r="A680" s="713"/>
      <c r="B680" s="570"/>
      <c r="C680" s="983"/>
      <c r="D680" s="697" t="s">
        <v>697</v>
      </c>
      <c r="E680" s="2031" t="s">
        <v>2549</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42" t="s">
        <v>1464</v>
      </c>
      <c r="AG680" s="1942"/>
      <c r="AH680" s="1942"/>
      <c r="AI680" s="1942"/>
      <c r="AJ680" s="1942"/>
      <c r="AK680" s="1942"/>
      <c r="AL680" s="1942"/>
      <c r="AN680" s="631"/>
      <c r="AW680" s="22" t="s">
        <v>2544</v>
      </c>
      <c r="AX680" s="584">
        <f>Application!CC632</f>
        <v>36</v>
      </c>
    </row>
    <row r="681" spans="1:51" s="584" customFormat="1" ht="12.75"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2545</v>
      </c>
      <c r="AX681" s="584">
        <f>Application!CH632</f>
        <v>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518</v>
      </c>
      <c r="E683" s="1995" t="s">
        <v>2449</v>
      </c>
      <c r="F683" s="1995"/>
      <c r="G683" s="1995"/>
      <c r="H683" s="1995"/>
      <c r="I683" s="1995"/>
      <c r="J683" s="1995"/>
      <c r="K683" s="1995"/>
      <c r="L683" s="1995"/>
      <c r="M683" s="1995"/>
      <c r="N683" s="1995"/>
      <c r="O683" s="1995"/>
      <c r="P683" s="1995"/>
      <c r="Q683" s="1995"/>
      <c r="R683" s="1995"/>
      <c r="S683" s="1995"/>
      <c r="T683" s="1995"/>
      <c r="U683" s="1995"/>
      <c r="V683" s="1995"/>
      <c r="W683" s="1995"/>
      <c r="X683" s="1995"/>
      <c r="Y683" s="1995"/>
      <c r="Z683" s="1995"/>
      <c r="AA683" s="1995"/>
      <c r="AB683" s="1995"/>
      <c r="AC683" s="570"/>
      <c r="AD683" s="570"/>
      <c r="AE683" s="570"/>
      <c r="AF683" s="1942" t="s">
        <v>1464</v>
      </c>
      <c r="AG683" s="1942"/>
      <c r="AH683" s="1942"/>
      <c r="AI683" s="1942"/>
      <c r="AJ683" s="1942"/>
      <c r="AK683" s="1942"/>
      <c r="AL683" s="1942"/>
      <c r="AN683" s="631"/>
      <c r="AW683" s="22" t="s">
        <v>2547</v>
      </c>
      <c r="AX683" s="584">
        <f>AX680+AX681+AX682</f>
        <v>44</v>
      </c>
    </row>
    <row r="684" spans="1:51" s="584" customFormat="1" ht="12.75" customHeight="1">
      <c r="B684" s="570"/>
      <c r="C684" s="975"/>
      <c r="D684" s="697"/>
      <c r="E684" s="1995"/>
      <c r="F684" s="1995"/>
      <c r="G684" s="1995"/>
      <c r="H684" s="1995"/>
      <c r="I684" s="1995"/>
      <c r="J684" s="1995"/>
      <c r="K684" s="1995"/>
      <c r="L684" s="1995"/>
      <c r="M684" s="1995"/>
      <c r="N684" s="1995"/>
      <c r="O684" s="1995"/>
      <c r="P684" s="1995"/>
      <c r="Q684" s="1995"/>
      <c r="R684" s="1995"/>
      <c r="S684" s="1995"/>
      <c r="T684" s="1995"/>
      <c r="U684" s="1995"/>
      <c r="V684" s="1995"/>
      <c r="W684" s="1995"/>
      <c r="X684" s="1995"/>
      <c r="Y684" s="1995"/>
      <c r="Z684" s="1995"/>
      <c r="AA684" s="1995"/>
      <c r="AB684" s="1995"/>
      <c r="AC684" s="570"/>
      <c r="AD684" s="570"/>
      <c r="AE684" s="650"/>
      <c r="AF684" s="570"/>
      <c r="AG684" s="570"/>
      <c r="AH684" s="570"/>
      <c r="AI684" s="570"/>
      <c r="AJ684" s="570"/>
      <c r="AK684" s="570"/>
      <c r="AL684" s="570"/>
      <c r="AN684" s="631"/>
      <c r="AO684" s="2030" t="b">
        <f>IF(Application!D211="Special Needs",IF(AY684&gt;=0.25,TRUE,FALSE),IF(AX684&gt;=0.25,TRUE,FALSE))</f>
        <v>1</v>
      </c>
      <c r="AP684" s="2030"/>
      <c r="AW684" s="22" t="s">
        <v>2548</v>
      </c>
      <c r="AX684" s="584">
        <f>IFERROR(AX683/AX679,0)</f>
        <v>0.25882352941176473</v>
      </c>
      <c r="AY684" s="584">
        <f>IFERROR(AX683/(AX679-AX678),0)</f>
        <v>0.25882352941176473</v>
      </c>
    </row>
    <row r="685" spans="1:51" s="584" customFormat="1" ht="12.75" customHeight="1">
      <c r="B685" s="570"/>
      <c r="C685" s="975"/>
      <c r="E685" s="1995"/>
      <c r="F685" s="1995"/>
      <c r="G685" s="1995"/>
      <c r="H685" s="1995"/>
      <c r="I685" s="1995"/>
      <c r="J685" s="1995"/>
      <c r="K685" s="1995"/>
      <c r="L685" s="1995"/>
      <c r="M685" s="1995"/>
      <c r="N685" s="1995"/>
      <c r="O685" s="1995"/>
      <c r="P685" s="1995"/>
      <c r="Q685" s="1995"/>
      <c r="R685" s="1995"/>
      <c r="S685" s="1995"/>
      <c r="T685" s="1995"/>
      <c r="U685" s="1995"/>
      <c r="V685" s="1995"/>
      <c r="W685" s="1995"/>
      <c r="X685" s="1995"/>
      <c r="Y685" s="1995"/>
      <c r="Z685" s="1995"/>
      <c r="AA685" s="1995"/>
      <c r="AB685" s="199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5"/>
      <c r="F686" s="1995"/>
      <c r="G686" s="1995"/>
      <c r="H686" s="1995"/>
      <c r="I686" s="1995"/>
      <c r="J686" s="1995"/>
      <c r="K686" s="1995"/>
      <c r="L686" s="1995"/>
      <c r="M686" s="1995"/>
      <c r="N686" s="1995"/>
      <c r="O686" s="1995"/>
      <c r="P686" s="1995"/>
      <c r="Q686" s="1995"/>
      <c r="R686" s="1995"/>
      <c r="S686" s="1995"/>
      <c r="T686" s="1995"/>
      <c r="U686" s="1995"/>
      <c r="V686" s="1995"/>
      <c r="W686" s="1995"/>
      <c r="X686" s="1995"/>
      <c r="Y686" s="1995"/>
      <c r="Z686" s="1995"/>
      <c r="AA686" s="1995"/>
      <c r="AB686" s="199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5" t="s">
        <v>2450</v>
      </c>
      <c r="F688" s="1995"/>
      <c r="G688" s="1995"/>
      <c r="H688" s="1995"/>
      <c r="I688" s="1995"/>
      <c r="J688" s="1995"/>
      <c r="K688" s="1995"/>
      <c r="L688" s="1995"/>
      <c r="M688" s="1995"/>
      <c r="N688" s="1995"/>
      <c r="O688" s="1995"/>
      <c r="P688" s="1995"/>
      <c r="Q688" s="1995"/>
      <c r="R688" s="1995"/>
      <c r="S688" s="1995"/>
      <c r="T688" s="1995"/>
      <c r="U688" s="1995"/>
      <c r="V688" s="1995"/>
      <c r="W688" s="1995"/>
      <c r="X688" s="1995"/>
      <c r="Y688" s="1995"/>
      <c r="Z688" s="1995"/>
      <c r="AA688" s="1995"/>
      <c r="AB688" s="1995"/>
      <c r="AC688" s="570"/>
      <c r="AD688" s="570"/>
      <c r="AE688" s="570"/>
      <c r="AF688" s="1942" t="s">
        <v>1520</v>
      </c>
      <c r="AG688" s="1942"/>
      <c r="AH688" s="1942"/>
      <c r="AI688" s="1942"/>
      <c r="AJ688" s="1942"/>
      <c r="AK688" s="1942"/>
      <c r="AL688" s="1942"/>
      <c r="AN688" s="631"/>
      <c r="AO688" s="645" t="s">
        <v>518</v>
      </c>
      <c r="AP688" s="584">
        <v>1</v>
      </c>
    </row>
    <row r="689" spans="1:42" s="584" customFormat="1" ht="12" customHeight="1">
      <c r="B689" s="570"/>
      <c r="C689" s="966"/>
      <c r="E689" s="1995"/>
      <c r="F689" s="1995"/>
      <c r="G689" s="1995"/>
      <c r="H689" s="1995"/>
      <c r="I689" s="1995"/>
      <c r="J689" s="1995"/>
      <c r="K689" s="1995"/>
      <c r="L689" s="1995"/>
      <c r="M689" s="1995"/>
      <c r="N689" s="1995"/>
      <c r="O689" s="1995"/>
      <c r="P689" s="1995"/>
      <c r="Q689" s="1995"/>
      <c r="R689" s="1995"/>
      <c r="S689" s="1995"/>
      <c r="T689" s="1995"/>
      <c r="U689" s="1995"/>
      <c r="V689" s="1995"/>
      <c r="W689" s="1995"/>
      <c r="X689" s="1995"/>
      <c r="Y689" s="1995"/>
      <c r="Z689" s="1995"/>
      <c r="AA689" s="1995"/>
      <c r="AB689" s="1995"/>
      <c r="AC689" s="570"/>
      <c r="AD689" s="570"/>
      <c r="AE689" s="650"/>
      <c r="AF689" s="570"/>
      <c r="AG689" s="570"/>
      <c r="AH689" s="570"/>
      <c r="AI689" s="570"/>
      <c r="AJ689" s="570"/>
      <c r="AK689" s="570"/>
      <c r="AL689" s="570"/>
      <c r="AN689" s="631"/>
    </row>
    <row r="690" spans="1:42" s="584" customFormat="1" ht="12" customHeight="1">
      <c r="B690" s="570"/>
      <c r="C690" s="966"/>
      <c r="D690" s="570"/>
      <c r="E690" s="1995"/>
      <c r="F690" s="1995"/>
      <c r="G690" s="1995"/>
      <c r="H690" s="1995"/>
      <c r="I690" s="1995"/>
      <c r="J690" s="1995"/>
      <c r="K690" s="1995"/>
      <c r="L690" s="1995"/>
      <c r="M690" s="1995"/>
      <c r="N690" s="1995"/>
      <c r="O690" s="1995"/>
      <c r="P690" s="1995"/>
      <c r="Q690" s="1995"/>
      <c r="R690" s="1995"/>
      <c r="S690" s="1995"/>
      <c r="T690" s="1995"/>
      <c r="U690" s="1995"/>
      <c r="V690" s="1995"/>
      <c r="W690" s="1995"/>
      <c r="X690" s="1995"/>
      <c r="Y690" s="1995"/>
      <c r="Z690" s="1995"/>
      <c r="AA690" s="1995"/>
      <c r="AB690" s="1995"/>
      <c r="AC690" s="570"/>
      <c r="AD690" s="570"/>
      <c r="AE690" s="650"/>
      <c r="AF690" s="570"/>
      <c r="AG690" s="570"/>
      <c r="AH690" s="570"/>
      <c r="AI690" s="570"/>
      <c r="AJ690" s="570"/>
      <c r="AK690" s="570"/>
      <c r="AL690" s="570"/>
      <c r="AN690" s="631"/>
    </row>
    <row r="691" spans="1:42" s="584" customFormat="1" ht="12" customHeight="1">
      <c r="B691" s="570"/>
      <c r="C691" s="966"/>
      <c r="D691" s="570"/>
      <c r="E691" s="1995"/>
      <c r="F691" s="1995"/>
      <c r="G691" s="1995"/>
      <c r="H691" s="1995"/>
      <c r="I691" s="1995"/>
      <c r="J691" s="1995"/>
      <c r="K691" s="1995"/>
      <c r="L691" s="1995"/>
      <c r="M691" s="1995"/>
      <c r="N691" s="1995"/>
      <c r="O691" s="1995"/>
      <c r="P691" s="1995"/>
      <c r="Q691" s="1995"/>
      <c r="R691" s="1995"/>
      <c r="S691" s="1995"/>
      <c r="T691" s="1995"/>
      <c r="U691" s="1995"/>
      <c r="V691" s="1995"/>
      <c r="W691" s="1995"/>
      <c r="X691" s="1995"/>
      <c r="Y691" s="1995"/>
      <c r="Z691" s="1995"/>
      <c r="AA691" s="1995"/>
      <c r="AB691" s="199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5"/>
      <c r="F692" s="1995"/>
      <c r="G692" s="1995"/>
      <c r="H692" s="1995"/>
      <c r="I692" s="1995"/>
      <c r="J692" s="1995"/>
      <c r="K692" s="1995"/>
      <c r="L692" s="1995"/>
      <c r="M692" s="1995"/>
      <c r="N692" s="1995"/>
      <c r="O692" s="1995"/>
      <c r="P692" s="1995"/>
      <c r="Q692" s="1995"/>
      <c r="R692" s="1995"/>
      <c r="S692" s="1995"/>
      <c r="T692" s="1995"/>
      <c r="U692" s="1995"/>
      <c r="V692" s="1995"/>
      <c r="W692" s="1995"/>
      <c r="X692" s="1995"/>
      <c r="Y692" s="1995"/>
      <c r="Z692" s="1995"/>
      <c r="AA692" s="1995"/>
      <c r="AB692" s="199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5" t="s">
        <v>1884</v>
      </c>
      <c r="F694" s="1995"/>
      <c r="G694" s="1995"/>
      <c r="H694" s="1995"/>
      <c r="I694" s="1995"/>
      <c r="J694" s="1995"/>
      <c r="K694" s="1995"/>
      <c r="L694" s="1995"/>
      <c r="M694" s="1995"/>
      <c r="N694" s="1995"/>
      <c r="O694" s="1995"/>
      <c r="P694" s="1995"/>
      <c r="Q694" s="1995"/>
      <c r="R694" s="1995"/>
      <c r="S694" s="1995"/>
      <c r="T694" s="1995"/>
      <c r="U694" s="1995"/>
      <c r="V694" s="1995"/>
      <c r="W694" s="1995"/>
      <c r="X694" s="1995"/>
      <c r="Y694" s="1995"/>
      <c r="Z694" s="1995"/>
      <c r="AA694" s="1995"/>
      <c r="AB694" s="1995"/>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95"/>
      <c r="F695" s="1995"/>
      <c r="G695" s="1995"/>
      <c r="H695" s="1995"/>
      <c r="I695" s="1995"/>
      <c r="J695" s="1995"/>
      <c r="K695" s="1995"/>
      <c r="L695" s="1995"/>
      <c r="M695" s="1995"/>
      <c r="N695" s="1995"/>
      <c r="O695" s="1995"/>
      <c r="P695" s="1995"/>
      <c r="Q695" s="1995"/>
      <c r="R695" s="1995"/>
      <c r="S695" s="1995"/>
      <c r="T695" s="1995"/>
      <c r="U695" s="1995"/>
      <c r="V695" s="1995"/>
      <c r="W695" s="1995"/>
      <c r="X695" s="1995"/>
      <c r="Y695" s="1995"/>
      <c r="Z695" s="1995"/>
      <c r="AA695" s="1995"/>
      <c r="AB695" s="199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5"/>
      <c r="F696" s="1995"/>
      <c r="G696" s="1995"/>
      <c r="H696" s="1995"/>
      <c r="I696" s="1995"/>
      <c r="J696" s="1995"/>
      <c r="K696" s="1995"/>
      <c r="L696" s="1995"/>
      <c r="M696" s="1995"/>
      <c r="N696" s="1995"/>
      <c r="O696" s="1995"/>
      <c r="P696" s="1995"/>
      <c r="Q696" s="1995"/>
      <c r="R696" s="1995"/>
      <c r="S696" s="1995"/>
      <c r="T696" s="1995"/>
      <c r="U696" s="1995"/>
      <c r="V696" s="1995"/>
      <c r="W696" s="1995"/>
      <c r="X696" s="1995"/>
      <c r="Y696" s="1995"/>
      <c r="Z696" s="1995"/>
      <c r="AA696" s="1995"/>
      <c r="AB696" s="199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4" t="s">
        <v>697</v>
      </c>
      <c r="I698" s="202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75">
        <f>VLOOKUP($H$698,$AO$692:$AP$694,2,FALSE)</f>
        <v>3</v>
      </c>
      <c r="AK700" s="1977"/>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2" t="s">
        <v>1886</v>
      </c>
      <c r="F704" s="2032"/>
      <c r="G704" s="2032"/>
      <c r="H704" s="2032"/>
      <c r="I704" s="2032"/>
      <c r="J704" s="2032"/>
      <c r="K704" s="2032"/>
      <c r="L704" s="2032"/>
      <c r="M704" s="2032"/>
      <c r="N704" s="2032"/>
      <c r="O704" s="2032"/>
      <c r="P704" s="2032"/>
      <c r="Q704" s="2032"/>
      <c r="R704" s="2032"/>
      <c r="S704" s="2032"/>
      <c r="T704" s="2032"/>
      <c r="U704" s="2032"/>
      <c r="V704" s="2032"/>
      <c r="W704" s="2032"/>
      <c r="X704" s="2032"/>
      <c r="Y704" s="2032"/>
      <c r="Z704" s="2032"/>
      <c r="AA704" s="2032"/>
      <c r="AB704" s="2032"/>
      <c r="AC704" s="570"/>
      <c r="AD704" s="570"/>
      <c r="AE704" s="570"/>
      <c r="AF704" s="1942" t="s">
        <v>1464</v>
      </c>
      <c r="AG704" s="1942"/>
      <c r="AH704" s="1942"/>
      <c r="AI704" s="1942"/>
      <c r="AJ704" s="1942"/>
      <c r="AK704" s="1942"/>
      <c r="AL704" s="1942"/>
      <c r="AM704" s="584"/>
      <c r="AN704" s="718"/>
      <c r="AP704" s="604" t="s">
        <v>1544</v>
      </c>
    </row>
    <row r="705" spans="1:52" s="604" customFormat="1" ht="11.85" customHeight="1">
      <c r="A705" s="584"/>
      <c r="B705" s="570"/>
      <c r="C705" s="968"/>
      <c r="D705" s="697"/>
      <c r="E705" s="2032"/>
      <c r="F705" s="2032"/>
      <c r="G705" s="2032"/>
      <c r="H705" s="2032"/>
      <c r="I705" s="2032"/>
      <c r="J705" s="2032"/>
      <c r="K705" s="2032"/>
      <c r="L705" s="2032"/>
      <c r="M705" s="2032"/>
      <c r="N705" s="2032"/>
      <c r="O705" s="2032"/>
      <c r="P705" s="2032"/>
      <c r="Q705" s="2032"/>
      <c r="R705" s="2032"/>
      <c r="S705" s="2032"/>
      <c r="T705" s="2032"/>
      <c r="U705" s="2032"/>
      <c r="V705" s="2032"/>
      <c r="W705" s="2032"/>
      <c r="X705" s="2032"/>
      <c r="Y705" s="2032"/>
      <c r="Z705" s="2032"/>
      <c r="AA705" s="2032"/>
      <c r="AB705" s="2032"/>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2"/>
      <c r="F706" s="2032"/>
      <c r="G706" s="2032"/>
      <c r="H706" s="2032"/>
      <c r="I706" s="2032"/>
      <c r="J706" s="2032"/>
      <c r="K706" s="2032"/>
      <c r="L706" s="2032"/>
      <c r="M706" s="2032"/>
      <c r="N706" s="2032"/>
      <c r="O706" s="2032"/>
      <c r="P706" s="2032"/>
      <c r="Q706" s="2032"/>
      <c r="R706" s="2032"/>
      <c r="S706" s="2032"/>
      <c r="T706" s="2032"/>
      <c r="U706" s="2032"/>
      <c r="V706" s="2032"/>
      <c r="W706" s="2032"/>
      <c r="X706" s="2032"/>
      <c r="Y706" s="2032"/>
      <c r="Z706" s="2032"/>
      <c r="AA706" s="2032"/>
      <c r="AB706" s="2032"/>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3" t="s">
        <v>1547</v>
      </c>
      <c r="F708" s="2033"/>
      <c r="G708" s="2033"/>
      <c r="H708" s="2033"/>
      <c r="I708" s="2033"/>
      <c r="J708" s="2033"/>
      <c r="K708" s="2033"/>
      <c r="L708" s="2033"/>
      <c r="M708" s="2033"/>
      <c r="N708" s="2033"/>
      <c r="O708" s="2033"/>
      <c r="P708" s="2033"/>
      <c r="Q708" s="2033"/>
      <c r="R708" s="2033"/>
      <c r="S708" s="2033"/>
      <c r="T708" s="2033"/>
      <c r="U708" s="2033"/>
      <c r="V708" s="2033"/>
      <c r="W708" s="2033"/>
      <c r="X708" s="2033"/>
      <c r="Y708" s="2033"/>
      <c r="Z708" s="2033"/>
      <c r="AA708" s="2033"/>
      <c r="AB708" s="2033"/>
      <c r="AC708" s="570"/>
      <c r="AD708" s="570"/>
      <c r="AE708" s="570"/>
      <c r="AF708" s="1942" t="s">
        <v>1520</v>
      </c>
      <c r="AG708" s="1942"/>
      <c r="AH708" s="1942"/>
      <c r="AI708" s="1942"/>
      <c r="AJ708" s="1942"/>
      <c r="AK708" s="1942"/>
      <c r="AL708" s="1942"/>
      <c r="AM708" s="584"/>
      <c r="AN708" s="719"/>
    </row>
    <row r="709" spans="1:52" s="604" customFormat="1" ht="12.75" customHeight="1">
      <c r="A709" s="584"/>
      <c r="B709" s="570"/>
      <c r="C709" s="968"/>
      <c r="D709" s="570"/>
      <c r="E709" s="2033"/>
      <c r="F709" s="2033"/>
      <c r="G709" s="2033"/>
      <c r="H709" s="2033"/>
      <c r="I709" s="2033"/>
      <c r="J709" s="2033"/>
      <c r="K709" s="2033"/>
      <c r="L709" s="2033"/>
      <c r="M709" s="2033"/>
      <c r="N709" s="2033"/>
      <c r="O709" s="2033"/>
      <c r="P709" s="2033"/>
      <c r="Q709" s="2033"/>
      <c r="R709" s="2033"/>
      <c r="S709" s="2033"/>
      <c r="T709" s="2033"/>
      <c r="U709" s="2033"/>
      <c r="V709" s="2033"/>
      <c r="W709" s="2033"/>
      <c r="X709" s="2033"/>
      <c r="Y709" s="2033"/>
      <c r="Z709" s="2033"/>
      <c r="AA709" s="2033"/>
      <c r="AB709" s="2033"/>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3"/>
      <c r="F710" s="2033"/>
      <c r="G710" s="2033"/>
      <c r="H710" s="2033"/>
      <c r="I710" s="2033"/>
      <c r="J710" s="2033"/>
      <c r="K710" s="2033"/>
      <c r="L710" s="2033"/>
      <c r="M710" s="2033"/>
      <c r="N710" s="2033"/>
      <c r="O710" s="2033"/>
      <c r="P710" s="2033"/>
      <c r="Q710" s="2033"/>
      <c r="R710" s="2033"/>
      <c r="S710" s="2033"/>
      <c r="T710" s="2033"/>
      <c r="U710" s="2033"/>
      <c r="V710" s="2033"/>
      <c r="W710" s="2033"/>
      <c r="X710" s="2033"/>
      <c r="Y710" s="2033"/>
      <c r="Z710" s="2033"/>
      <c r="AA710" s="2033"/>
      <c r="AB710" s="2033"/>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4" t="s">
        <v>600</v>
      </c>
      <c r="I712" s="202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5">
        <f>VLOOKUP($H$712,$AP$709:$AQ$711,2,FALSE)</f>
        <v>0</v>
      </c>
      <c r="AK714" s="1977"/>
      <c r="AL714" s="629"/>
      <c r="AM714" s="584"/>
      <c r="AN714" s="718"/>
      <c r="AP714" s="1975"/>
      <c r="AQ714" s="197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5" t="s">
        <v>1887</v>
      </c>
      <c r="F718" s="1995"/>
      <c r="G718" s="1995"/>
      <c r="H718" s="1995"/>
      <c r="I718" s="1995"/>
      <c r="J718" s="1995"/>
      <c r="K718" s="1995"/>
      <c r="L718" s="1995"/>
      <c r="M718" s="1995"/>
      <c r="N718" s="1995"/>
      <c r="O718" s="1995"/>
      <c r="P718" s="1995"/>
      <c r="Q718" s="1995"/>
      <c r="R718" s="1995"/>
      <c r="S718" s="1995"/>
      <c r="T718" s="1995"/>
      <c r="U718" s="1995"/>
      <c r="V718" s="1995"/>
      <c r="W718" s="1995"/>
      <c r="X718" s="1995"/>
      <c r="Y718" s="1995"/>
      <c r="Z718" s="1995"/>
      <c r="AA718" s="1995"/>
      <c r="AB718" s="1995"/>
      <c r="AC718" s="570"/>
      <c r="AD718" s="570"/>
      <c r="AE718" s="570"/>
      <c r="AF718" s="1942" t="s">
        <v>1464</v>
      </c>
      <c r="AG718" s="1942"/>
      <c r="AH718" s="1942"/>
      <c r="AI718" s="1942"/>
      <c r="AJ718" s="1942"/>
      <c r="AK718" s="1942"/>
      <c r="AL718" s="1942"/>
      <c r="AM718" s="584"/>
      <c r="AN718" s="718"/>
      <c r="AT718" s="14"/>
      <c r="AU718" s="14"/>
      <c r="AV718" s="14"/>
      <c r="AW718" s="14"/>
      <c r="AX718" s="14"/>
      <c r="AY718" s="14"/>
      <c r="AZ718" s="14"/>
    </row>
    <row r="719" spans="1:52" s="604" customFormat="1">
      <c r="A719" s="584"/>
      <c r="B719" s="570"/>
      <c r="C719" s="968"/>
      <c r="D719" s="697"/>
      <c r="E719" s="1995"/>
      <c r="F719" s="1995"/>
      <c r="G719" s="1995"/>
      <c r="H719" s="1995"/>
      <c r="I719" s="1995"/>
      <c r="J719" s="1995"/>
      <c r="K719" s="1995"/>
      <c r="L719" s="1995"/>
      <c r="M719" s="1995"/>
      <c r="N719" s="1995"/>
      <c r="O719" s="1995"/>
      <c r="P719" s="1995"/>
      <c r="Q719" s="1995"/>
      <c r="R719" s="1995"/>
      <c r="S719" s="1995"/>
      <c r="T719" s="1995"/>
      <c r="U719" s="1995"/>
      <c r="V719" s="1995"/>
      <c r="W719" s="1995"/>
      <c r="X719" s="1995"/>
      <c r="Y719" s="1995"/>
      <c r="Z719" s="1995"/>
      <c r="AA719" s="1995"/>
      <c r="AB719" s="199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5" t="s">
        <v>1551</v>
      </c>
      <c r="F721" s="1995"/>
      <c r="G721" s="1995"/>
      <c r="H721" s="1995"/>
      <c r="I721" s="1995"/>
      <c r="J721" s="1995"/>
      <c r="K721" s="1995"/>
      <c r="L721" s="1995"/>
      <c r="M721" s="1995"/>
      <c r="N721" s="1995"/>
      <c r="O721" s="1995"/>
      <c r="P721" s="1995"/>
      <c r="Q721" s="1995"/>
      <c r="R721" s="1995"/>
      <c r="S721" s="1995"/>
      <c r="T721" s="1995"/>
      <c r="U721" s="1995"/>
      <c r="V721" s="1995"/>
      <c r="W721" s="1995"/>
      <c r="X721" s="1995"/>
      <c r="Y721" s="1995"/>
      <c r="Z721" s="1995"/>
      <c r="AA721" s="1995"/>
      <c r="AB721" s="1995"/>
      <c r="AC721" s="570"/>
      <c r="AD721" s="570"/>
      <c r="AE721" s="570"/>
      <c r="AF721" s="1942" t="s">
        <v>1520</v>
      </c>
      <c r="AG721" s="1942"/>
      <c r="AH721" s="1942"/>
      <c r="AI721" s="1942"/>
      <c r="AJ721" s="1942"/>
      <c r="AK721" s="1942"/>
      <c r="AL721" s="1942"/>
      <c r="AM721" s="584"/>
      <c r="AN721" s="718"/>
      <c r="AT721" s="14"/>
      <c r="AU721" s="14"/>
      <c r="AV721" s="14"/>
      <c r="AW721" s="14"/>
      <c r="AX721" s="14"/>
      <c r="AY721" s="14"/>
      <c r="AZ721" s="14"/>
    </row>
    <row r="722" spans="1:81" s="604" customFormat="1">
      <c r="A722" s="584"/>
      <c r="B722" s="570"/>
      <c r="C722" s="968"/>
      <c r="D722" s="570"/>
      <c r="E722" s="1995"/>
      <c r="F722" s="1995"/>
      <c r="G722" s="1995"/>
      <c r="H722" s="1995"/>
      <c r="I722" s="1995"/>
      <c r="J722" s="1995"/>
      <c r="K722" s="1995"/>
      <c r="L722" s="1995"/>
      <c r="M722" s="1995"/>
      <c r="N722" s="1995"/>
      <c r="O722" s="1995"/>
      <c r="P722" s="1995"/>
      <c r="Q722" s="1995"/>
      <c r="R722" s="1995"/>
      <c r="S722" s="1995"/>
      <c r="T722" s="1995"/>
      <c r="U722" s="1995"/>
      <c r="V722" s="1995"/>
      <c r="W722" s="1995"/>
      <c r="X722" s="1995"/>
      <c r="Y722" s="1995"/>
      <c r="Z722" s="1995"/>
      <c r="AA722" s="1995"/>
      <c r="AB722" s="199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4" t="s">
        <v>600</v>
      </c>
      <c r="I724" s="202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5">
        <f>VLOOKUP($H$724,$AO$655:$AP$657,2,FALSE)</f>
        <v>0</v>
      </c>
      <c r="AK726" s="197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5" t="s">
        <v>1554</v>
      </c>
      <c r="F730" s="1995"/>
      <c r="G730" s="1995"/>
      <c r="H730" s="1995"/>
      <c r="I730" s="1995"/>
      <c r="J730" s="1995"/>
      <c r="K730" s="1995"/>
      <c r="L730" s="1995"/>
      <c r="M730" s="1995"/>
      <c r="N730" s="1995"/>
      <c r="O730" s="1995"/>
      <c r="P730" s="1995"/>
      <c r="Q730" s="1995"/>
      <c r="R730" s="1995"/>
      <c r="S730" s="1995"/>
      <c r="T730" s="1995"/>
      <c r="U730" s="1995"/>
      <c r="V730" s="1995"/>
      <c r="W730" s="1995"/>
      <c r="X730" s="1995"/>
      <c r="Y730" s="1995"/>
      <c r="Z730" s="1995"/>
      <c r="AA730" s="1995"/>
      <c r="AB730" s="1995"/>
      <c r="AC730" s="570"/>
      <c r="AD730" s="570"/>
      <c r="AE730" s="570"/>
      <c r="AF730" s="1942" t="s">
        <v>1464</v>
      </c>
      <c r="AG730" s="1942"/>
      <c r="AH730" s="1942"/>
      <c r="AI730" s="1942"/>
      <c r="AJ730" s="1942"/>
      <c r="AK730" s="1942"/>
      <c r="AL730" s="1942"/>
      <c r="AM730" s="584"/>
      <c r="AN730" s="718"/>
      <c r="AT730" s="14"/>
      <c r="AU730" s="14"/>
      <c r="AV730" s="14"/>
      <c r="AW730" s="14"/>
      <c r="AX730" s="14"/>
      <c r="AY730" s="14"/>
      <c r="AZ730" s="14"/>
    </row>
    <row r="731" spans="1:81" s="604" customFormat="1">
      <c r="A731" s="584"/>
      <c r="B731" s="570"/>
      <c r="C731" s="966"/>
      <c r="D731" s="697"/>
      <c r="E731" s="1995"/>
      <c r="F731" s="1995"/>
      <c r="G731" s="1995"/>
      <c r="H731" s="1995"/>
      <c r="I731" s="1995"/>
      <c r="J731" s="1995"/>
      <c r="K731" s="1995"/>
      <c r="L731" s="1995"/>
      <c r="M731" s="1995"/>
      <c r="N731" s="1995"/>
      <c r="O731" s="1995"/>
      <c r="P731" s="1995"/>
      <c r="Q731" s="1995"/>
      <c r="R731" s="1995"/>
      <c r="S731" s="1995"/>
      <c r="T731" s="1995"/>
      <c r="U731" s="1995"/>
      <c r="V731" s="1995"/>
      <c r="W731" s="1995"/>
      <c r="X731" s="1995"/>
      <c r="Y731" s="1995"/>
      <c r="Z731" s="1995"/>
      <c r="AA731" s="1995"/>
      <c r="AB731" s="199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5"/>
      <c r="F732" s="1995"/>
      <c r="G732" s="1995"/>
      <c r="H732" s="1995"/>
      <c r="I732" s="1995"/>
      <c r="J732" s="1995"/>
      <c r="K732" s="1995"/>
      <c r="L732" s="1995"/>
      <c r="M732" s="1995"/>
      <c r="N732" s="1995"/>
      <c r="O732" s="1995"/>
      <c r="P732" s="1995"/>
      <c r="Q732" s="1995"/>
      <c r="R732" s="1995"/>
      <c r="S732" s="1995"/>
      <c r="T732" s="1995"/>
      <c r="U732" s="1995"/>
      <c r="V732" s="1995"/>
      <c r="W732" s="1995"/>
      <c r="X732" s="1995"/>
      <c r="Y732" s="1995"/>
      <c r="Z732" s="1995"/>
      <c r="AA732" s="1995"/>
      <c r="AB732" s="199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5"/>
      <c r="F733" s="1995"/>
      <c r="G733" s="1995"/>
      <c r="H733" s="1995"/>
      <c r="I733" s="1995"/>
      <c r="J733" s="1995"/>
      <c r="K733" s="1995"/>
      <c r="L733" s="1995"/>
      <c r="M733" s="1995"/>
      <c r="N733" s="1995"/>
      <c r="O733" s="1995"/>
      <c r="P733" s="1995"/>
      <c r="Q733" s="1995"/>
      <c r="R733" s="1995"/>
      <c r="S733" s="1995"/>
      <c r="T733" s="1995"/>
      <c r="U733" s="1995"/>
      <c r="V733" s="1995"/>
      <c r="W733" s="1995"/>
      <c r="X733" s="1995"/>
      <c r="Y733" s="1995"/>
      <c r="Z733" s="1995"/>
      <c r="AA733" s="1995"/>
      <c r="AB733" s="199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5" t="s">
        <v>1555</v>
      </c>
      <c r="F735" s="1995"/>
      <c r="G735" s="1995"/>
      <c r="H735" s="1995"/>
      <c r="I735" s="1995"/>
      <c r="J735" s="1995"/>
      <c r="K735" s="1995"/>
      <c r="L735" s="1995"/>
      <c r="M735" s="1995"/>
      <c r="N735" s="1995"/>
      <c r="O735" s="1995"/>
      <c r="P735" s="1995"/>
      <c r="Q735" s="1995"/>
      <c r="R735" s="1995"/>
      <c r="S735" s="1995"/>
      <c r="T735" s="1995"/>
      <c r="U735" s="1995"/>
      <c r="V735" s="1995"/>
      <c r="W735" s="1995"/>
      <c r="X735" s="1995"/>
      <c r="Y735" s="1995"/>
      <c r="Z735" s="1995"/>
      <c r="AA735" s="1995"/>
      <c r="AB735" s="609"/>
      <c r="AC735" s="570"/>
      <c r="AD735" s="570"/>
      <c r="AE735" s="570"/>
      <c r="AF735" s="1942" t="s">
        <v>1520</v>
      </c>
      <c r="AG735" s="1942"/>
      <c r="AH735" s="1942"/>
      <c r="AI735" s="1942"/>
      <c r="AJ735" s="1942"/>
      <c r="AK735" s="1942"/>
      <c r="AL735" s="1942"/>
      <c r="AM735" s="584"/>
      <c r="AN735" s="718"/>
      <c r="AO735" s="30"/>
      <c r="AP735" s="14"/>
    </row>
    <row r="736" spans="1:81" s="604" customFormat="1">
      <c r="A736" s="584"/>
      <c r="B736" s="570"/>
      <c r="C736" s="966"/>
      <c r="D736" s="697"/>
      <c r="E736" s="1995"/>
      <c r="F736" s="1995"/>
      <c r="G736" s="1995"/>
      <c r="H736" s="1995"/>
      <c r="I736" s="1995"/>
      <c r="J736" s="1995"/>
      <c r="K736" s="1995"/>
      <c r="L736" s="1995"/>
      <c r="M736" s="1995"/>
      <c r="N736" s="1995"/>
      <c r="O736" s="1995"/>
      <c r="P736" s="1995"/>
      <c r="Q736" s="1995"/>
      <c r="R736" s="1995"/>
      <c r="S736" s="1995"/>
      <c r="T736" s="1995"/>
      <c r="U736" s="1995"/>
      <c r="V736" s="1995"/>
      <c r="W736" s="1995"/>
      <c r="X736" s="1995"/>
      <c r="Y736" s="1995"/>
      <c r="Z736" s="1995"/>
      <c r="AA736" s="199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5"/>
      <c r="F737" s="1995"/>
      <c r="G737" s="1995"/>
      <c r="H737" s="1995"/>
      <c r="I737" s="1995"/>
      <c r="J737" s="1995"/>
      <c r="K737" s="1995"/>
      <c r="L737" s="1995"/>
      <c r="M737" s="1995"/>
      <c r="N737" s="1995"/>
      <c r="O737" s="1995"/>
      <c r="P737" s="1995"/>
      <c r="Q737" s="1995"/>
      <c r="R737" s="1995"/>
      <c r="S737" s="1995"/>
      <c r="T737" s="1995"/>
      <c r="U737" s="1995"/>
      <c r="V737" s="1995"/>
      <c r="W737" s="1995"/>
      <c r="X737" s="1995"/>
      <c r="Y737" s="1995"/>
      <c r="Z737" s="1995"/>
      <c r="AA737" s="199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5"/>
      <c r="F738" s="1995"/>
      <c r="G738" s="1995"/>
      <c r="H738" s="1995"/>
      <c r="I738" s="1995"/>
      <c r="J738" s="1995"/>
      <c r="K738" s="1995"/>
      <c r="L738" s="1995"/>
      <c r="M738" s="1995"/>
      <c r="N738" s="1995"/>
      <c r="O738" s="1995"/>
      <c r="P738" s="1995"/>
      <c r="Q738" s="1995"/>
      <c r="R738" s="1995"/>
      <c r="S738" s="1995"/>
      <c r="T738" s="1995"/>
      <c r="U738" s="1995"/>
      <c r="V738" s="1995"/>
      <c r="W738" s="1995"/>
      <c r="X738" s="1995"/>
      <c r="Y738" s="1995"/>
      <c r="Z738" s="1995"/>
      <c r="AA738" s="199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4" t="s">
        <v>697</v>
      </c>
      <c r="I740" s="202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5">
        <f>VLOOKUP($H$740,$AO$669:$AP$671,2,FALSE)</f>
        <v>3</v>
      </c>
      <c r="AK742" s="197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5" t="s">
        <v>1557</v>
      </c>
      <c r="F746" s="1995"/>
      <c r="G746" s="1995"/>
      <c r="H746" s="1995"/>
      <c r="I746" s="1995"/>
      <c r="J746" s="1995"/>
      <c r="K746" s="1995"/>
      <c r="L746" s="1995"/>
      <c r="M746" s="1995"/>
      <c r="N746" s="1995"/>
      <c r="O746" s="1995"/>
      <c r="P746" s="1995"/>
      <c r="Q746" s="1995"/>
      <c r="R746" s="1995"/>
      <c r="S746" s="1995"/>
      <c r="T746" s="1995"/>
      <c r="U746" s="1995"/>
      <c r="V746" s="1995"/>
      <c r="W746" s="1995"/>
      <c r="X746" s="1995"/>
      <c r="Y746" s="1995"/>
      <c r="Z746" s="1995"/>
      <c r="AA746" s="1995"/>
      <c r="AB746" s="1995"/>
      <c r="AC746" s="570"/>
      <c r="AD746" s="570"/>
      <c r="AE746" s="570"/>
      <c r="AF746" s="1942" t="s">
        <v>1520</v>
      </c>
      <c r="AG746" s="1942"/>
      <c r="AH746" s="1942"/>
      <c r="AI746" s="1942"/>
      <c r="AJ746" s="1942"/>
      <c r="AK746" s="1942"/>
      <c r="AL746" s="194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5"/>
      <c r="F747" s="1995"/>
      <c r="G747" s="1995"/>
      <c r="H747" s="1995"/>
      <c r="I747" s="1995"/>
      <c r="J747" s="1995"/>
      <c r="K747" s="1995"/>
      <c r="L747" s="1995"/>
      <c r="M747" s="1995"/>
      <c r="N747" s="1995"/>
      <c r="O747" s="1995"/>
      <c r="P747" s="1995"/>
      <c r="Q747" s="1995"/>
      <c r="R747" s="1995"/>
      <c r="S747" s="1995"/>
      <c r="T747" s="1995"/>
      <c r="U747" s="1995"/>
      <c r="V747" s="1995"/>
      <c r="W747" s="1995"/>
      <c r="X747" s="1995"/>
      <c r="Y747" s="1995"/>
      <c r="Z747" s="1995"/>
      <c r="AA747" s="1995"/>
      <c r="AB747" s="199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5" t="s">
        <v>1558</v>
      </c>
      <c r="F749" s="1995"/>
      <c r="G749" s="1995"/>
      <c r="H749" s="1995"/>
      <c r="I749" s="1995"/>
      <c r="J749" s="1995"/>
      <c r="K749" s="1995"/>
      <c r="L749" s="1995"/>
      <c r="M749" s="1995"/>
      <c r="N749" s="1995"/>
      <c r="O749" s="1995"/>
      <c r="P749" s="1995"/>
      <c r="Q749" s="1995"/>
      <c r="R749" s="1995"/>
      <c r="S749" s="1995"/>
      <c r="T749" s="1995"/>
      <c r="U749" s="1995"/>
      <c r="V749" s="1995"/>
      <c r="W749" s="1995"/>
      <c r="X749" s="1995"/>
      <c r="Y749" s="1995"/>
      <c r="Z749" s="1995"/>
      <c r="AA749" s="1995"/>
      <c r="AB749" s="1995"/>
      <c r="AC749" s="570"/>
      <c r="AD749" s="570"/>
      <c r="AE749" s="570"/>
      <c r="AF749" s="1942" t="s">
        <v>1537</v>
      </c>
      <c r="AG749" s="1942"/>
      <c r="AH749" s="1942"/>
      <c r="AI749" s="1942"/>
      <c r="AJ749" s="1942"/>
      <c r="AK749" s="1942"/>
      <c r="AL749" s="194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5"/>
      <c r="F750" s="1995"/>
      <c r="G750" s="1995"/>
      <c r="H750" s="1995"/>
      <c r="I750" s="1995"/>
      <c r="J750" s="1995"/>
      <c r="K750" s="1995"/>
      <c r="L750" s="1995"/>
      <c r="M750" s="1995"/>
      <c r="N750" s="1995"/>
      <c r="O750" s="1995"/>
      <c r="P750" s="1995"/>
      <c r="Q750" s="1995"/>
      <c r="R750" s="1995"/>
      <c r="S750" s="1995"/>
      <c r="T750" s="1995"/>
      <c r="U750" s="1995"/>
      <c r="V750" s="1995"/>
      <c r="W750" s="1995"/>
      <c r="X750" s="1995"/>
      <c r="Y750" s="1995"/>
      <c r="Z750" s="1995"/>
      <c r="AA750" s="1995"/>
      <c r="AB750" s="199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4" t="s">
        <v>697</v>
      </c>
      <c r="I752" s="202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5">
        <f>VLOOKUP($H$752,$AO$686:$AP$688,2,FALSE)</f>
        <v>2</v>
      </c>
      <c r="AK754" s="197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5" t="s">
        <v>1883</v>
      </c>
      <c r="F758" s="1995"/>
      <c r="G758" s="1995"/>
      <c r="H758" s="1995"/>
      <c r="I758" s="1995"/>
      <c r="J758" s="1995"/>
      <c r="K758" s="1995"/>
      <c r="L758" s="1995"/>
      <c r="M758" s="1995"/>
      <c r="N758" s="1995"/>
      <c r="O758" s="1995"/>
      <c r="P758" s="1995"/>
      <c r="Q758" s="1995"/>
      <c r="R758" s="1995"/>
      <c r="S758" s="1995"/>
      <c r="T758" s="1995"/>
      <c r="U758" s="1995"/>
      <c r="V758" s="1995"/>
      <c r="W758" s="1995"/>
      <c r="X758" s="1995"/>
      <c r="Y758" s="1995"/>
      <c r="Z758" s="1995"/>
      <c r="AA758" s="1995"/>
      <c r="AB758" s="1995"/>
      <c r="AC758" s="1995"/>
      <c r="AD758" s="1995"/>
      <c r="AE758" s="570"/>
      <c r="AF758" s="1942" t="s">
        <v>1520</v>
      </c>
      <c r="AG758" s="1942"/>
      <c r="AH758" s="1942"/>
      <c r="AI758" s="1942"/>
      <c r="AJ758" s="1942"/>
      <c r="AK758" s="1942"/>
      <c r="AL758" s="1942"/>
      <c r="AM758" s="647"/>
      <c r="AN758" s="718"/>
      <c r="AO758" s="584" t="s">
        <v>600</v>
      </c>
      <c r="AP758" s="707">
        <v>0</v>
      </c>
    </row>
    <row r="759" spans="1:74" s="604" customFormat="1" ht="13.7" customHeight="1">
      <c r="A759" s="584"/>
      <c r="B759" s="650"/>
      <c r="C759" s="975"/>
      <c r="D759" s="697"/>
      <c r="E759" s="1995"/>
      <c r="F759" s="1995"/>
      <c r="G759" s="1995"/>
      <c r="H759" s="1995"/>
      <c r="I759" s="1995"/>
      <c r="J759" s="1995"/>
      <c r="K759" s="1995"/>
      <c r="L759" s="1995"/>
      <c r="M759" s="1995"/>
      <c r="N759" s="1995"/>
      <c r="O759" s="1995"/>
      <c r="P759" s="1995"/>
      <c r="Q759" s="1995"/>
      <c r="R759" s="1995"/>
      <c r="S759" s="1995"/>
      <c r="T759" s="1995"/>
      <c r="U759" s="1995"/>
      <c r="V759" s="1995"/>
      <c r="W759" s="1995"/>
      <c r="X759" s="1995"/>
      <c r="Y759" s="1995"/>
      <c r="Z759" s="1995"/>
      <c r="AA759" s="1995"/>
      <c r="AB759" s="1995"/>
      <c r="AC759" s="1995"/>
      <c r="AD759" s="199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5"/>
      <c r="F760" s="1995"/>
      <c r="G760" s="1995"/>
      <c r="H760" s="1995"/>
      <c r="I760" s="1995"/>
      <c r="J760" s="1995"/>
      <c r="K760" s="1995"/>
      <c r="L760" s="1995"/>
      <c r="M760" s="1995"/>
      <c r="N760" s="1995"/>
      <c r="O760" s="1995"/>
      <c r="P760" s="1995"/>
      <c r="Q760" s="1995"/>
      <c r="R760" s="1995"/>
      <c r="S760" s="1995"/>
      <c r="T760" s="1995"/>
      <c r="U760" s="1995"/>
      <c r="V760" s="1995"/>
      <c r="W760" s="1995"/>
      <c r="X760" s="1995"/>
      <c r="Y760" s="1995"/>
      <c r="Z760" s="1995"/>
      <c r="AA760" s="1995"/>
      <c r="AB760" s="1995"/>
      <c r="AC760" s="1995"/>
      <c r="AD760" s="199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5"/>
      <c r="F761" s="1995"/>
      <c r="G761" s="1995"/>
      <c r="H761" s="1995"/>
      <c r="I761" s="1995"/>
      <c r="J761" s="1995"/>
      <c r="K761" s="1995"/>
      <c r="L761" s="1995"/>
      <c r="M761" s="1995"/>
      <c r="N761" s="1995"/>
      <c r="O761" s="1995"/>
      <c r="P761" s="1995"/>
      <c r="Q761" s="1995"/>
      <c r="R761" s="1995"/>
      <c r="S761" s="1995"/>
      <c r="T761" s="1995"/>
      <c r="U761" s="1995"/>
      <c r="V761" s="1995"/>
      <c r="W761" s="1995"/>
      <c r="X761" s="1995"/>
      <c r="Y761" s="1995"/>
      <c r="Z761" s="1995"/>
      <c r="AA761" s="1995"/>
      <c r="AB761" s="1995"/>
      <c r="AC761" s="1995"/>
      <c r="AD761" s="199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4" t="s">
        <v>1888</v>
      </c>
      <c r="F763" s="2034"/>
      <c r="G763" s="2034"/>
      <c r="H763" s="2034"/>
      <c r="I763" s="2034"/>
      <c r="J763" s="2034"/>
      <c r="K763" s="2034"/>
      <c r="L763" s="2034"/>
      <c r="M763" s="2034"/>
      <c r="N763" s="2034"/>
      <c r="O763" s="2034"/>
      <c r="P763" s="2034"/>
      <c r="Q763" s="2034"/>
      <c r="R763" s="2034"/>
      <c r="S763" s="2034"/>
      <c r="T763" s="2034"/>
      <c r="U763" s="2034"/>
      <c r="V763" s="2034"/>
      <c r="W763" s="2034"/>
      <c r="X763" s="2034"/>
      <c r="Y763" s="2034"/>
      <c r="Z763" s="2034"/>
      <c r="AA763" s="2034"/>
      <c r="AB763" s="2034"/>
      <c r="AC763" s="2034"/>
      <c r="AD763" s="2034"/>
      <c r="AE763" s="570"/>
      <c r="AF763" s="1942" t="s">
        <v>1464</v>
      </c>
      <c r="AG763" s="1942"/>
      <c r="AH763" s="1942"/>
      <c r="AI763" s="1942"/>
      <c r="AJ763" s="1942"/>
      <c r="AK763" s="1942"/>
      <c r="AL763" s="1942"/>
      <c r="AM763" s="647"/>
      <c r="AN763" s="631"/>
    </row>
    <row r="764" spans="1:74" s="584" customFormat="1" ht="12.75" customHeight="1">
      <c r="B764" s="650"/>
      <c r="C764" s="975"/>
      <c r="D764" s="697"/>
      <c r="E764" s="2034"/>
      <c r="F764" s="2034"/>
      <c r="G764" s="2034"/>
      <c r="H764" s="2034"/>
      <c r="I764" s="2034"/>
      <c r="J764" s="2034"/>
      <c r="K764" s="2034"/>
      <c r="L764" s="2034"/>
      <c r="M764" s="2034"/>
      <c r="N764" s="2034"/>
      <c r="O764" s="2034"/>
      <c r="P764" s="2034"/>
      <c r="Q764" s="2034"/>
      <c r="R764" s="2034"/>
      <c r="S764" s="2034"/>
      <c r="T764" s="2034"/>
      <c r="U764" s="2034"/>
      <c r="V764" s="2034"/>
      <c r="W764" s="2034"/>
      <c r="X764" s="2034"/>
      <c r="Y764" s="2034"/>
      <c r="Z764" s="2034"/>
      <c r="AA764" s="2034"/>
      <c r="AB764" s="2034"/>
      <c r="AC764" s="2034"/>
      <c r="AD764" s="2034"/>
      <c r="AE764" s="628"/>
      <c r="AF764" s="628"/>
      <c r="AG764" s="628"/>
      <c r="AH764" s="628"/>
      <c r="AI764" s="628"/>
      <c r="AJ764" s="628"/>
      <c r="AK764" s="628"/>
      <c r="AL764" s="628"/>
      <c r="AM764" s="647"/>
      <c r="AN764" s="631"/>
    </row>
    <row r="765" spans="1:74" s="584" customFormat="1" ht="12.75" customHeight="1">
      <c r="B765" s="650"/>
      <c r="C765" s="975"/>
      <c r="D765" s="697"/>
      <c r="E765" s="2034"/>
      <c r="F765" s="2034"/>
      <c r="G765" s="2034"/>
      <c r="H765" s="2034"/>
      <c r="I765" s="2034"/>
      <c r="J765" s="2034"/>
      <c r="K765" s="2034"/>
      <c r="L765" s="2034"/>
      <c r="M765" s="2034"/>
      <c r="N765" s="2034"/>
      <c r="O765" s="2034"/>
      <c r="P765" s="2034"/>
      <c r="Q765" s="2034"/>
      <c r="R765" s="2034"/>
      <c r="S765" s="2034"/>
      <c r="T765" s="2034"/>
      <c r="U765" s="2034"/>
      <c r="V765" s="2034"/>
      <c r="W765" s="2034"/>
      <c r="X765" s="2034"/>
      <c r="Y765" s="2034"/>
      <c r="Z765" s="2034"/>
      <c r="AA765" s="2034"/>
      <c r="AB765" s="2034"/>
      <c r="AC765" s="2034"/>
      <c r="AD765" s="2034"/>
      <c r="AE765" s="628"/>
      <c r="AF765" s="628"/>
      <c r="AG765" s="628"/>
      <c r="AH765" s="628"/>
      <c r="AI765" s="628"/>
      <c r="AJ765" s="628"/>
      <c r="AK765" s="628"/>
      <c r="AL765" s="628"/>
      <c r="AM765" s="647"/>
      <c r="AN765" s="631"/>
    </row>
    <row r="766" spans="1:74" s="584" customFormat="1" ht="12.75" customHeight="1">
      <c r="B766" s="650"/>
      <c r="C766" s="975"/>
      <c r="D766" s="697"/>
      <c r="E766" s="2034"/>
      <c r="F766" s="2034"/>
      <c r="G766" s="2034"/>
      <c r="H766" s="2034"/>
      <c r="I766" s="2034"/>
      <c r="J766" s="2034"/>
      <c r="K766" s="2034"/>
      <c r="L766" s="2034"/>
      <c r="M766" s="2034"/>
      <c r="N766" s="2034"/>
      <c r="O766" s="2034"/>
      <c r="P766" s="2034"/>
      <c r="Q766" s="2034"/>
      <c r="R766" s="2034"/>
      <c r="S766" s="2034"/>
      <c r="T766" s="2034"/>
      <c r="U766" s="2034"/>
      <c r="V766" s="2034"/>
      <c r="W766" s="2034"/>
      <c r="X766" s="2034"/>
      <c r="Y766" s="2034"/>
      <c r="Z766" s="2034"/>
      <c r="AA766" s="2034"/>
      <c r="AB766" s="2034"/>
      <c r="AC766" s="2034"/>
      <c r="AD766" s="203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4" t="s">
        <v>600</v>
      </c>
      <c r="I768" s="202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5">
        <f>VLOOKUP($H$768,$AO$758:$AP$760,2,FALSE)</f>
        <v>0</v>
      </c>
      <c r="AK770" s="197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5" t="s">
        <v>2343</v>
      </c>
      <c r="F774" s="1995"/>
      <c r="G774" s="1995"/>
      <c r="H774" s="1995"/>
      <c r="I774" s="1995"/>
      <c r="J774" s="1995"/>
      <c r="K774" s="1995"/>
      <c r="L774" s="1995"/>
      <c r="M774" s="1995"/>
      <c r="N774" s="1995"/>
      <c r="O774" s="1995"/>
      <c r="P774" s="1995"/>
      <c r="Q774" s="1995"/>
      <c r="R774" s="1995"/>
      <c r="S774" s="1995"/>
      <c r="T774" s="1995"/>
      <c r="U774" s="1995"/>
      <c r="V774" s="1995"/>
      <c r="W774" s="1995"/>
      <c r="X774" s="1995"/>
      <c r="Y774" s="1995"/>
      <c r="Z774" s="1995"/>
      <c r="AA774" s="1995"/>
      <c r="AB774" s="1995"/>
      <c r="AC774" s="1995"/>
      <c r="AD774" s="1995"/>
      <c r="AE774" s="570"/>
      <c r="AF774" s="1942" t="s">
        <v>1464</v>
      </c>
      <c r="AG774" s="1942"/>
      <c r="AH774" s="1942"/>
      <c r="AI774" s="1942"/>
      <c r="AJ774" s="1942"/>
      <c r="AK774" s="1942"/>
      <c r="AL774" s="1942"/>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5"/>
      <c r="F775" s="1995"/>
      <c r="G775" s="1995"/>
      <c r="H775" s="1995"/>
      <c r="I775" s="1995"/>
      <c r="J775" s="1995"/>
      <c r="K775" s="1995"/>
      <c r="L775" s="1995"/>
      <c r="M775" s="1995"/>
      <c r="N775" s="1995"/>
      <c r="O775" s="1995"/>
      <c r="P775" s="1995"/>
      <c r="Q775" s="1995"/>
      <c r="R775" s="1995"/>
      <c r="S775" s="1995"/>
      <c r="T775" s="1995"/>
      <c r="U775" s="1995"/>
      <c r="V775" s="1995"/>
      <c r="W775" s="1995"/>
      <c r="X775" s="1995"/>
      <c r="Y775" s="1995"/>
      <c r="Z775" s="1995"/>
      <c r="AA775" s="1995"/>
      <c r="AB775" s="1995"/>
      <c r="AC775" s="1995"/>
      <c r="AD775" s="199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5"/>
      <c r="F776" s="1995"/>
      <c r="G776" s="1995"/>
      <c r="H776" s="1995"/>
      <c r="I776" s="1995"/>
      <c r="J776" s="1995"/>
      <c r="K776" s="1995"/>
      <c r="L776" s="1995"/>
      <c r="M776" s="1995"/>
      <c r="N776" s="1995"/>
      <c r="O776" s="1995"/>
      <c r="P776" s="1995"/>
      <c r="Q776" s="1995"/>
      <c r="R776" s="1995"/>
      <c r="S776" s="1995"/>
      <c r="T776" s="1995"/>
      <c r="U776" s="1995"/>
      <c r="V776" s="1995"/>
      <c r="W776" s="1995"/>
      <c r="X776" s="1995"/>
      <c r="Y776" s="1995"/>
      <c r="Z776" s="1995"/>
      <c r="AA776" s="1995"/>
      <c r="AB776" s="1995"/>
      <c r="AC776" s="1995"/>
      <c r="AD776" s="199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5"/>
      <c r="F777" s="1995"/>
      <c r="G777" s="1995"/>
      <c r="H777" s="1995"/>
      <c r="I777" s="1995"/>
      <c r="J777" s="1995"/>
      <c r="K777" s="1995"/>
      <c r="L777" s="1995"/>
      <c r="M777" s="1995"/>
      <c r="N777" s="1995"/>
      <c r="O777" s="1995"/>
      <c r="P777" s="1995"/>
      <c r="Q777" s="1995"/>
      <c r="R777" s="1995"/>
      <c r="S777" s="1995"/>
      <c r="T777" s="1995"/>
      <c r="U777" s="1995"/>
      <c r="V777" s="1995"/>
      <c r="W777" s="1995"/>
      <c r="X777" s="1995"/>
      <c r="Y777" s="1995"/>
      <c r="Z777" s="1995"/>
      <c r="AA777" s="1995"/>
      <c r="AB777" s="1995"/>
      <c r="AC777" s="1995"/>
      <c r="AD777" s="199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4" t="s">
        <v>554</v>
      </c>
      <c r="I779" s="202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5">
        <f>VLOOKUP($H$779,$AO$773:$AP$774,2,FALSE)</f>
        <v>3</v>
      </c>
      <c r="AK781" s="197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5">
        <f>IF(($AJ$610+$AJ$629+$AJ$641+$AJ$676+$AJ$700+$AJ$714+$AJ$726+$AJ$742+$AJ$754+$AJ$770+AJ781)&gt;10,10,($AJ$610+$AJ$629+$AJ$641+$AJ$676+$AJ$700+$AJ$714+$AJ$726+$AJ$742+$AJ$754+$AJ$770+AJ781))</f>
        <v>10</v>
      </c>
      <c r="AL783" s="1976"/>
      <c r="AM783" s="197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5" t="s">
        <v>1681</v>
      </c>
      <c r="B786" s="2086"/>
      <c r="C786" s="2086"/>
      <c r="D786" s="2086"/>
      <c r="E786" s="2086"/>
      <c r="F786" s="2086"/>
      <c r="G786" s="2086"/>
      <c r="H786" s="2086"/>
      <c r="I786" s="2086"/>
      <c r="J786" s="2086"/>
      <c r="K786" s="2086"/>
      <c r="L786" s="2086"/>
      <c r="M786" s="2086"/>
      <c r="N786" s="2086"/>
      <c r="O786" s="2086"/>
      <c r="P786" s="2086"/>
      <c r="Q786" s="2086"/>
      <c r="R786" s="2086"/>
      <c r="S786" s="2086"/>
      <c r="T786" s="2086"/>
      <c r="U786" s="2086"/>
      <c r="V786" s="2086"/>
      <c r="W786" s="2086"/>
      <c r="X786" s="2086"/>
      <c r="Y786" s="2086"/>
      <c r="Z786" s="2086"/>
      <c r="AA786" s="2086"/>
      <c r="AB786" s="2086"/>
      <c r="AC786" s="2086"/>
      <c r="AD786" s="2086"/>
      <c r="AE786" s="2086"/>
      <c r="AF786" s="2086"/>
      <c r="AG786" s="2086"/>
      <c r="AH786" s="2086"/>
      <c r="AI786" s="2086"/>
      <c r="AJ786" s="2086"/>
      <c r="AK786" s="2086"/>
      <c r="AL786" s="2086"/>
      <c r="AM786" s="2086"/>
    </row>
    <row r="787" spans="1:43">
      <c r="A787" s="2087"/>
      <c r="B787" s="2087"/>
      <c r="C787" s="2087"/>
      <c r="D787" s="2087"/>
      <c r="E787" s="2087"/>
      <c r="F787" s="2087"/>
      <c r="G787" s="2087"/>
      <c r="H787" s="2087"/>
      <c r="I787" s="2087"/>
      <c r="J787" s="2087"/>
      <c r="K787" s="2087"/>
      <c r="L787" s="2087"/>
      <c r="M787" s="2087"/>
      <c r="N787" s="2087"/>
      <c r="O787" s="2087"/>
      <c r="P787" s="2087"/>
      <c r="Q787" s="2087"/>
      <c r="R787" s="2087"/>
      <c r="S787" s="2087"/>
      <c r="T787" s="2087"/>
      <c r="U787" s="2087"/>
      <c r="V787" s="2087"/>
      <c r="W787" s="2087"/>
      <c r="X787" s="2087"/>
      <c r="Y787" s="2087"/>
      <c r="Z787" s="2087"/>
      <c r="AA787" s="2087"/>
      <c r="AB787" s="2087"/>
      <c r="AC787" s="2087"/>
      <c r="AD787" s="2087"/>
      <c r="AE787" s="2087"/>
      <c r="AF787" s="2087"/>
      <c r="AG787" s="2087"/>
      <c r="AH787" s="2087"/>
      <c r="AI787" s="2087"/>
      <c r="AJ787" s="2087"/>
      <c r="AK787" s="2087"/>
      <c r="AL787" s="2087"/>
      <c r="AM787" s="20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6"/>
      <c r="B789" s="2016"/>
      <c r="C789" s="2016"/>
      <c r="D789" s="2016"/>
      <c r="E789" s="2016"/>
      <c r="F789" s="2016"/>
      <c r="G789" s="2016"/>
      <c r="H789" s="2016"/>
      <c r="I789" s="2016"/>
      <c r="J789" s="2016"/>
      <c r="K789" s="2016"/>
      <c r="L789" s="2016"/>
      <c r="M789" s="2016"/>
      <c r="N789" s="2016"/>
      <c r="O789" s="2016"/>
      <c r="P789" s="2016"/>
      <c r="Q789" s="2016"/>
      <c r="R789" s="2016"/>
      <c r="S789" s="2016"/>
      <c r="T789" s="2016"/>
      <c r="U789" s="2016"/>
      <c r="V789" s="2016"/>
      <c r="W789" s="2016"/>
      <c r="X789" s="2016"/>
      <c r="Y789" s="2016"/>
      <c r="Z789" s="2016"/>
      <c r="AA789" s="2016"/>
      <c r="AB789" s="2016"/>
      <c r="AC789" s="2016"/>
      <c r="AD789" s="2016"/>
      <c r="AE789" s="2016"/>
      <c r="AF789" s="2016"/>
      <c r="AG789" s="2016"/>
      <c r="AH789" s="2016"/>
      <c r="AI789" s="2016"/>
      <c r="AJ789" s="2016"/>
      <c r="AK789" s="2016"/>
      <c r="AL789" s="2016"/>
      <c r="AM789" s="2016"/>
      <c r="AP789" s="850"/>
      <c r="AQ789" s="850"/>
    </row>
    <row r="790" spans="1:43">
      <c r="A790" s="2016"/>
      <c r="B790" s="2016"/>
      <c r="C790" s="2016"/>
      <c r="D790" s="2016"/>
      <c r="E790" s="2016"/>
      <c r="F790" s="2016"/>
      <c r="G790" s="2016"/>
      <c r="H790" s="2016"/>
      <c r="I790" s="2016"/>
      <c r="J790" s="2016"/>
      <c r="K790" s="2016"/>
      <c r="L790" s="2016"/>
      <c r="M790" s="2016"/>
      <c r="N790" s="2016"/>
      <c r="O790" s="2016"/>
      <c r="P790" s="2016"/>
      <c r="Q790" s="2016"/>
      <c r="R790" s="2016"/>
      <c r="S790" s="2016"/>
      <c r="T790" s="2016"/>
      <c r="U790" s="2016"/>
      <c r="V790" s="2016"/>
      <c r="W790" s="2016"/>
      <c r="X790" s="2016"/>
      <c r="Y790" s="2016"/>
      <c r="Z790" s="2016"/>
      <c r="AA790" s="2016"/>
      <c r="AB790" s="2016"/>
      <c r="AC790" s="2016"/>
      <c r="AD790" s="2016"/>
      <c r="AE790" s="2016"/>
      <c r="AF790" s="2016"/>
      <c r="AG790" s="2016"/>
      <c r="AH790" s="2016"/>
      <c r="AI790" s="2016"/>
      <c r="AJ790" s="2016"/>
      <c r="AK790" s="2016"/>
      <c r="AL790" s="2016"/>
      <c r="AM790" s="201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8" t="s">
        <v>1682</v>
      </c>
      <c r="U791" s="2089"/>
      <c r="V791" s="2089"/>
      <c r="W791" s="2089"/>
      <c r="X791" s="2089"/>
      <c r="Y791" s="2090"/>
      <c r="Z791" s="2088" t="s">
        <v>1683</v>
      </c>
      <c r="AA791" s="2089"/>
      <c r="AB791" s="2089"/>
      <c r="AC791" s="2089"/>
      <c r="AD791" s="2089"/>
      <c r="AE791" s="2090"/>
      <c r="AF791" s="2088" t="s">
        <v>1684</v>
      </c>
      <c r="AG791" s="2089"/>
      <c r="AH791" s="2089"/>
      <c r="AI791" s="2089"/>
      <c r="AJ791" s="2089"/>
      <c r="AK791" s="20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1"/>
      <c r="U792" s="2092"/>
      <c r="V792" s="2092"/>
      <c r="W792" s="2092"/>
      <c r="X792" s="2092"/>
      <c r="Y792" s="2093"/>
      <c r="Z792" s="2091"/>
      <c r="AA792" s="2092"/>
      <c r="AB792" s="2092"/>
      <c r="AC792" s="2092"/>
      <c r="AD792" s="2092"/>
      <c r="AE792" s="2093"/>
      <c r="AF792" s="2091"/>
      <c r="AG792" s="2092"/>
      <c r="AH792" s="2092"/>
      <c r="AI792" s="2092"/>
      <c r="AJ792" s="2092"/>
      <c r="AK792" s="2093"/>
      <c r="AL792" s="852"/>
      <c r="AM792" s="630"/>
      <c r="AO792" s="850"/>
      <c r="AP792" s="850"/>
      <c r="AQ792" s="850"/>
    </row>
    <row r="793" spans="1:43">
      <c r="A793" s="853" t="s">
        <v>767</v>
      </c>
      <c r="B793" s="2068" t="s">
        <v>1416</v>
      </c>
      <c r="C793" s="2068"/>
      <c r="D793" s="2068"/>
      <c r="E793" s="2068"/>
      <c r="F793" s="2068"/>
      <c r="G793" s="2068"/>
      <c r="H793" s="2068"/>
      <c r="I793" s="2068"/>
      <c r="J793" s="2068"/>
      <c r="K793" s="2068"/>
      <c r="L793" s="2068"/>
      <c r="M793" s="2068"/>
      <c r="N793" s="2068"/>
      <c r="O793" s="2068"/>
      <c r="P793" s="2068"/>
      <c r="Q793" s="2068"/>
      <c r="R793" s="2068"/>
      <c r="S793" s="2069"/>
      <c r="T793" s="2070">
        <f>AK56</f>
        <v>0</v>
      </c>
      <c r="U793" s="2071"/>
      <c r="V793" s="2071"/>
      <c r="W793" s="2071"/>
      <c r="X793" s="2071"/>
      <c r="Y793" s="2072"/>
      <c r="Z793" s="2073">
        <v>20</v>
      </c>
      <c r="AA793" s="2071"/>
      <c r="AB793" s="2071"/>
      <c r="AC793" s="2071"/>
      <c r="AD793" s="2071"/>
      <c r="AE793" s="2072"/>
      <c r="AF793" s="2037">
        <f>IF(T793&gt;Z793,Z793,T793)</f>
        <v>0</v>
      </c>
      <c r="AG793" s="2037"/>
      <c r="AH793" s="2037"/>
      <c r="AI793" s="2037"/>
      <c r="AJ793" s="2037"/>
      <c r="AK793" s="2037"/>
      <c r="AL793" s="852"/>
      <c r="AM793" s="630"/>
      <c r="AO793" s="850"/>
      <c r="AP793" s="850"/>
      <c r="AQ793" s="850"/>
    </row>
    <row r="794" spans="1:43">
      <c r="A794" s="853" t="s">
        <v>1654</v>
      </c>
      <c r="B794" s="2068" t="s">
        <v>1425</v>
      </c>
      <c r="C794" s="2068"/>
      <c r="D794" s="2068"/>
      <c r="E794" s="2068"/>
      <c r="F794" s="2068"/>
      <c r="G794" s="2068"/>
      <c r="H794" s="2068"/>
      <c r="I794" s="2068"/>
      <c r="J794" s="2068"/>
      <c r="K794" s="2068"/>
      <c r="L794" s="2068"/>
      <c r="M794" s="2068"/>
      <c r="N794" s="2068"/>
      <c r="O794" s="2068"/>
      <c r="P794" s="2068"/>
      <c r="Q794" s="2068"/>
      <c r="R794" s="2068"/>
      <c r="S794" s="2069"/>
      <c r="T794" s="2070">
        <f>AK78</f>
        <v>10</v>
      </c>
      <c r="U794" s="2071"/>
      <c r="V794" s="2071"/>
      <c r="W794" s="2071"/>
      <c r="X794" s="2071"/>
      <c r="Y794" s="2072"/>
      <c r="Z794" s="2073">
        <v>10</v>
      </c>
      <c r="AA794" s="2071"/>
      <c r="AB794" s="2071"/>
      <c r="AC794" s="2071"/>
      <c r="AD794" s="2071"/>
      <c r="AE794" s="2072"/>
      <c r="AF794" s="2037">
        <f>IF(T794&gt;Z794,Z794,T794)</f>
        <v>10</v>
      </c>
      <c r="AG794" s="2037"/>
      <c r="AH794" s="2037"/>
      <c r="AI794" s="2037"/>
      <c r="AJ794" s="2037"/>
      <c r="AK794" s="2037"/>
      <c r="AL794" s="852"/>
      <c r="AM794" s="630"/>
      <c r="AO794" s="850"/>
      <c r="AP794" s="850"/>
      <c r="AQ794" s="850"/>
    </row>
    <row r="795" spans="1:43">
      <c r="A795" s="853" t="s">
        <v>1663</v>
      </c>
      <c r="B795" s="2068" t="s">
        <v>1435</v>
      </c>
      <c r="C795" s="2068"/>
      <c r="D795" s="2068"/>
      <c r="E795" s="2068"/>
      <c r="F795" s="2068"/>
      <c r="G795" s="2068"/>
      <c r="H795" s="2068"/>
      <c r="I795" s="2068"/>
      <c r="J795" s="2068"/>
      <c r="K795" s="2068"/>
      <c r="L795" s="2068"/>
      <c r="M795" s="2068"/>
      <c r="N795" s="2068"/>
      <c r="O795" s="2068"/>
      <c r="P795" s="2068"/>
      <c r="Q795" s="2068"/>
      <c r="R795" s="2068"/>
      <c r="S795" s="2069"/>
      <c r="T795" s="2070">
        <f ca="1">AK103</f>
        <v>20</v>
      </c>
      <c r="U795" s="2071"/>
      <c r="V795" s="2071"/>
      <c r="W795" s="2071"/>
      <c r="X795" s="2071"/>
      <c r="Y795" s="2072"/>
      <c r="Z795" s="2073">
        <v>20</v>
      </c>
      <c r="AA795" s="2071"/>
      <c r="AB795" s="2071"/>
      <c r="AC795" s="2071"/>
      <c r="AD795" s="2071"/>
      <c r="AE795" s="2072"/>
      <c r="AF795" s="2037">
        <f ca="1">IF(T795&gt;Z795,Z795,T795)</f>
        <v>20</v>
      </c>
      <c r="AG795" s="2037"/>
      <c r="AH795" s="2037"/>
      <c r="AI795" s="2037"/>
      <c r="AJ795" s="2037"/>
      <c r="AK795" s="2037"/>
      <c r="AL795" s="852"/>
      <c r="AM795" s="630"/>
      <c r="AO795" s="850"/>
      <c r="AP795" s="850"/>
      <c r="AQ795" s="850"/>
    </row>
    <row r="796" spans="1:43">
      <c r="A796" s="853" t="s">
        <v>1685</v>
      </c>
      <c r="B796" s="2068" t="s">
        <v>1445</v>
      </c>
      <c r="C796" s="2068"/>
      <c r="D796" s="2068"/>
      <c r="E796" s="2068"/>
      <c r="F796" s="2068"/>
      <c r="G796" s="2068"/>
      <c r="H796" s="2068"/>
      <c r="I796" s="2068"/>
      <c r="J796" s="2068"/>
      <c r="K796" s="2068"/>
      <c r="L796" s="2068"/>
      <c r="M796" s="2068"/>
      <c r="N796" s="2068"/>
      <c r="O796" s="2068"/>
      <c r="P796" s="2068"/>
      <c r="Q796" s="2068"/>
      <c r="R796" s="2068"/>
      <c r="S796" s="2069"/>
      <c r="T796" s="2070">
        <f>AK137</f>
        <v>10</v>
      </c>
      <c r="U796" s="2071"/>
      <c r="V796" s="2071"/>
      <c r="W796" s="2071"/>
      <c r="X796" s="2071"/>
      <c r="Y796" s="2072"/>
      <c r="Z796" s="2073">
        <v>10</v>
      </c>
      <c r="AA796" s="2071"/>
      <c r="AB796" s="2071"/>
      <c r="AC796" s="2071"/>
      <c r="AD796" s="2071"/>
      <c r="AE796" s="2072"/>
      <c r="AF796" s="2037">
        <f>IF(T796&gt;Z796,Z796,T796)</f>
        <v>10</v>
      </c>
      <c r="AG796" s="2037"/>
      <c r="AH796" s="2037"/>
      <c r="AI796" s="2037"/>
      <c r="AJ796" s="2037"/>
      <c r="AK796" s="2037"/>
      <c r="AL796" s="852"/>
      <c r="AM796" s="630"/>
      <c r="AO796" s="850"/>
      <c r="AP796" s="850"/>
      <c r="AQ796" s="850"/>
    </row>
    <row r="797" spans="1:43">
      <c r="A797" s="854" t="s">
        <v>1686</v>
      </c>
      <c r="B797" s="2068" t="s">
        <v>1687</v>
      </c>
      <c r="C797" s="2068"/>
      <c r="D797" s="2068"/>
      <c r="E797" s="2068"/>
      <c r="F797" s="2068"/>
      <c r="G797" s="2068"/>
      <c r="H797" s="2068"/>
      <c r="I797" s="2068"/>
      <c r="J797" s="2068"/>
      <c r="K797" s="2068"/>
      <c r="L797" s="2068"/>
      <c r="M797" s="2068"/>
      <c r="N797" s="2068"/>
      <c r="O797" s="2068"/>
      <c r="P797" s="2068"/>
      <c r="Q797" s="2068"/>
      <c r="R797" s="2068"/>
      <c r="S797" s="2069"/>
      <c r="T797" s="2094">
        <f>SUM(T798:Y799)</f>
        <v>10</v>
      </c>
      <c r="U797" s="2094"/>
      <c r="V797" s="2094"/>
      <c r="W797" s="2094"/>
      <c r="X797" s="2094"/>
      <c r="Y797" s="2094"/>
      <c r="Z797" s="2037">
        <v>10</v>
      </c>
      <c r="AA797" s="2037"/>
      <c r="AB797" s="2037"/>
      <c r="AC797" s="2037"/>
      <c r="AD797" s="2037"/>
      <c r="AE797" s="2037"/>
      <c r="AF797" s="2037">
        <f>IF(T797&gt;Z797,Z797,T797)</f>
        <v>10</v>
      </c>
      <c r="AG797" s="2037"/>
      <c r="AH797" s="2037"/>
      <c r="AI797" s="2037"/>
      <c r="AJ797" s="2037"/>
      <c r="AK797" s="2037"/>
      <c r="AL797" s="852"/>
      <c r="AM797" s="630"/>
    </row>
    <row r="798" spans="1:43">
      <c r="A798" s="569"/>
      <c r="B798" s="635"/>
      <c r="C798" s="2095" t="s">
        <v>1688</v>
      </c>
      <c r="D798" s="2095"/>
      <c r="E798" s="2095"/>
      <c r="F798" s="2095"/>
      <c r="G798" s="2095"/>
      <c r="H798" s="2095"/>
      <c r="I798" s="2095"/>
      <c r="J798" s="2095"/>
      <c r="K798" s="2095"/>
      <c r="L798" s="2095"/>
      <c r="M798" s="2095"/>
      <c r="N798" s="2095"/>
      <c r="O798" s="2095"/>
      <c r="P798" s="2095"/>
      <c r="Q798" s="2095"/>
      <c r="R798" s="2095"/>
      <c r="S798" s="2096"/>
      <c r="T798" s="1970">
        <f>AJ155</f>
        <v>7</v>
      </c>
      <c r="U798" s="1970"/>
      <c r="V798" s="1970"/>
      <c r="W798" s="1970"/>
      <c r="X798" s="1970"/>
      <c r="Y798" s="1970"/>
      <c r="Z798" s="1971">
        <v>7</v>
      </c>
      <c r="AA798" s="1971"/>
      <c r="AB798" s="1971"/>
      <c r="AC798" s="1971"/>
      <c r="AD798" s="1971"/>
      <c r="AE798" s="1971"/>
      <c r="AF798" s="2097"/>
      <c r="AG798" s="2097"/>
      <c r="AH798" s="2097"/>
      <c r="AI798" s="2097"/>
      <c r="AJ798" s="2097"/>
      <c r="AK798" s="2097"/>
      <c r="AL798" s="852"/>
      <c r="AM798" s="630"/>
    </row>
    <row r="799" spans="1:43">
      <c r="A799" s="634"/>
      <c r="B799" s="635"/>
      <c r="C799" s="2095" t="s">
        <v>1689</v>
      </c>
      <c r="D799" s="2095"/>
      <c r="E799" s="2095"/>
      <c r="F799" s="2095"/>
      <c r="G799" s="2095"/>
      <c r="H799" s="2095"/>
      <c r="I799" s="2095"/>
      <c r="J799" s="2095"/>
      <c r="K799" s="2095"/>
      <c r="L799" s="2095"/>
      <c r="M799" s="2095"/>
      <c r="N799" s="2095"/>
      <c r="O799" s="2095"/>
      <c r="P799" s="2095"/>
      <c r="Q799" s="2095"/>
      <c r="R799" s="2095"/>
      <c r="S799" s="2096"/>
      <c r="T799" s="1970">
        <f>AJ169</f>
        <v>3</v>
      </c>
      <c r="U799" s="1970"/>
      <c r="V799" s="1970"/>
      <c r="W799" s="1970"/>
      <c r="X799" s="1970"/>
      <c r="Y799" s="1970"/>
      <c r="Z799" s="1971">
        <v>3</v>
      </c>
      <c r="AA799" s="1971"/>
      <c r="AB799" s="1971"/>
      <c r="AC799" s="1971"/>
      <c r="AD799" s="1971"/>
      <c r="AE799" s="1971"/>
      <c r="AF799" s="2097"/>
      <c r="AG799" s="2097"/>
      <c r="AH799" s="2097"/>
      <c r="AI799" s="2097"/>
      <c r="AJ799" s="2097"/>
      <c r="AK799" s="2097"/>
      <c r="AL799" s="852"/>
      <c r="AM799" s="630"/>
      <c r="AO799" s="584"/>
    </row>
    <row r="800" spans="1:43">
      <c r="A800" s="854" t="s">
        <v>1473</v>
      </c>
      <c r="B800" s="2068" t="s">
        <v>1690</v>
      </c>
      <c r="C800" s="2068"/>
      <c r="D800" s="2068"/>
      <c r="E800" s="2068"/>
      <c r="F800" s="2068"/>
      <c r="G800" s="2068"/>
      <c r="H800" s="2068"/>
      <c r="I800" s="2068"/>
      <c r="J800" s="2068"/>
      <c r="K800" s="2068"/>
      <c r="L800" s="2068"/>
      <c r="M800" s="2068"/>
      <c r="N800" s="2068"/>
      <c r="O800" s="2068"/>
      <c r="P800" s="2068"/>
      <c r="Q800" s="2068"/>
      <c r="R800" s="2068"/>
      <c r="S800" s="2069"/>
      <c r="T800" s="2094">
        <f>AK180</f>
        <v>10</v>
      </c>
      <c r="U800" s="2094"/>
      <c r="V800" s="2094"/>
      <c r="W800" s="2094"/>
      <c r="X800" s="2094"/>
      <c r="Y800" s="2094"/>
      <c r="Z800" s="2037">
        <v>10</v>
      </c>
      <c r="AA800" s="2037"/>
      <c r="AB800" s="2037"/>
      <c r="AC800" s="2037"/>
      <c r="AD800" s="2037"/>
      <c r="AE800" s="2037"/>
      <c r="AF800" s="2037">
        <f>IF(T800&gt;Z800,Z800,T800)</f>
        <v>10</v>
      </c>
      <c r="AG800" s="2037"/>
      <c r="AH800" s="2037"/>
      <c r="AI800" s="2037"/>
      <c r="AJ800" s="2037"/>
      <c r="AK800" s="2037"/>
      <c r="AL800" s="852"/>
      <c r="AM800" s="630"/>
    </row>
    <row r="801" spans="1:81">
      <c r="A801" s="853" t="s">
        <v>1482</v>
      </c>
      <c r="B801" s="2068" t="s">
        <v>1483</v>
      </c>
      <c r="C801" s="2068"/>
      <c r="D801" s="2068"/>
      <c r="E801" s="2068"/>
      <c r="F801" s="2068"/>
      <c r="G801" s="2068"/>
      <c r="H801" s="2068"/>
      <c r="I801" s="2068"/>
      <c r="J801" s="2068"/>
      <c r="K801" s="2068"/>
      <c r="L801" s="2068"/>
      <c r="M801" s="2068"/>
      <c r="N801" s="2068"/>
      <c r="O801" s="2068"/>
      <c r="P801" s="2068"/>
      <c r="Q801" s="2068"/>
      <c r="R801" s="2068"/>
      <c r="S801" s="2069"/>
      <c r="T801" s="2094">
        <f>AK262</f>
        <v>8</v>
      </c>
      <c r="U801" s="2094"/>
      <c r="V801" s="2094"/>
      <c r="W801" s="2094"/>
      <c r="X801" s="2094"/>
      <c r="Y801" s="2094"/>
      <c r="Z801" s="2073">
        <v>8</v>
      </c>
      <c r="AA801" s="2071"/>
      <c r="AB801" s="2071"/>
      <c r="AC801" s="2071"/>
      <c r="AD801" s="2071"/>
      <c r="AE801" s="2072"/>
      <c r="AF801" s="2037">
        <f>IF(T801&gt;Z801,Z801,T801)</f>
        <v>8</v>
      </c>
      <c r="AG801" s="2037"/>
      <c r="AH801" s="2037"/>
      <c r="AI801" s="2037"/>
      <c r="AJ801" s="2037"/>
      <c r="AK801" s="2037"/>
      <c r="AL801" s="852"/>
      <c r="AM801" s="630"/>
    </row>
    <row r="802" spans="1:81" s="568" customFormat="1" hidden="1">
      <c r="A802" s="854" t="s">
        <v>598</v>
      </c>
      <c r="B802" s="2068" t="s">
        <v>1691</v>
      </c>
      <c r="C802" s="2068"/>
      <c r="D802" s="2068"/>
      <c r="E802" s="2068"/>
      <c r="F802" s="2068"/>
      <c r="G802" s="2068"/>
      <c r="H802" s="2068"/>
      <c r="I802" s="2068"/>
      <c r="J802" s="2068"/>
      <c r="K802" s="2068"/>
      <c r="L802" s="2068"/>
      <c r="M802" s="2068"/>
      <c r="N802" s="2068"/>
      <c r="O802" s="2068"/>
      <c r="P802" s="2068"/>
      <c r="Q802" s="2068"/>
      <c r="R802" s="2068"/>
      <c r="S802" s="2069"/>
      <c r="T802" s="2094">
        <f>IF(AK524&gt;5,5,AK524)</f>
        <v>0</v>
      </c>
      <c r="U802" s="2094"/>
      <c r="V802" s="2094"/>
      <c r="W802" s="2094"/>
      <c r="X802" s="2094"/>
      <c r="Y802" s="2094"/>
      <c r="Z802" s="2037">
        <v>5</v>
      </c>
      <c r="AA802" s="2037"/>
      <c r="AB802" s="2037"/>
      <c r="AC802" s="2037"/>
      <c r="AD802" s="2037"/>
      <c r="AE802" s="2037"/>
      <c r="AF802" s="2037">
        <f>IF(T802&gt;Z802,5,T802)</f>
        <v>0</v>
      </c>
      <c r="AG802" s="2037"/>
      <c r="AH802" s="2037"/>
      <c r="AI802" s="2037"/>
      <c r="AJ802" s="2037"/>
      <c r="AK802" s="20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68" t="s">
        <v>1692</v>
      </c>
      <c r="C803" s="2068"/>
      <c r="D803" s="2068"/>
      <c r="E803" s="2068"/>
      <c r="F803" s="2068"/>
      <c r="G803" s="2068"/>
      <c r="H803" s="2068"/>
      <c r="I803" s="2068"/>
      <c r="J803" s="2068"/>
      <c r="K803" s="2068"/>
      <c r="L803" s="2068"/>
      <c r="M803" s="2068"/>
      <c r="N803" s="2068"/>
      <c r="O803" s="2068"/>
      <c r="P803" s="2068"/>
      <c r="Q803" s="2068"/>
      <c r="R803" s="2068"/>
      <c r="S803" s="2069"/>
      <c r="T803" s="2094">
        <f>AK274</f>
        <v>10</v>
      </c>
      <c r="U803" s="2094"/>
      <c r="V803" s="2094"/>
      <c r="W803" s="2094"/>
      <c r="X803" s="2094"/>
      <c r="Y803" s="2094"/>
      <c r="Z803" s="2037">
        <v>10</v>
      </c>
      <c r="AA803" s="2037"/>
      <c r="AB803" s="2037"/>
      <c r="AC803" s="2037"/>
      <c r="AD803" s="2037"/>
      <c r="AE803" s="2037"/>
      <c r="AF803" s="2100">
        <f>IF(T803&gt;Z803,Z803,T803)</f>
        <v>10</v>
      </c>
      <c r="AG803" s="2101"/>
      <c r="AH803" s="2101"/>
      <c r="AI803" s="2101"/>
      <c r="AJ803" s="2101"/>
      <c r="AK803" s="210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68" t="s">
        <v>1493</v>
      </c>
      <c r="C804" s="2068"/>
      <c r="D804" s="2068"/>
      <c r="E804" s="2068"/>
      <c r="F804" s="2068"/>
      <c r="G804" s="2068"/>
      <c r="H804" s="2068"/>
      <c r="I804" s="2068"/>
      <c r="J804" s="2068"/>
      <c r="K804" s="2068"/>
      <c r="L804" s="2068"/>
      <c r="M804" s="2068"/>
      <c r="N804" s="2068"/>
      <c r="O804" s="2068"/>
      <c r="P804" s="2068"/>
      <c r="Q804" s="2068"/>
      <c r="R804" s="2068"/>
      <c r="S804" s="2069"/>
      <c r="T804" s="2094">
        <f>AK327</f>
        <v>10</v>
      </c>
      <c r="U804" s="2094"/>
      <c r="V804" s="2094"/>
      <c r="W804" s="2094"/>
      <c r="X804" s="2094"/>
      <c r="Y804" s="2094"/>
      <c r="Z804" s="2100">
        <v>10</v>
      </c>
      <c r="AA804" s="2101"/>
      <c r="AB804" s="2101"/>
      <c r="AC804" s="2101"/>
      <c r="AD804" s="2101"/>
      <c r="AE804" s="2102"/>
      <c r="AF804" s="2100">
        <f>IF(T804&gt;Z804,Z804,T804)</f>
        <v>10</v>
      </c>
      <c r="AG804" s="2101"/>
      <c r="AH804" s="2101"/>
      <c r="AI804" s="2101"/>
      <c r="AJ804" s="2101"/>
      <c r="AK804" s="210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70">
        <f>AK327</f>
        <v>10</v>
      </c>
      <c r="U805" s="1970"/>
      <c r="V805" s="1970"/>
      <c r="W805" s="1970"/>
      <c r="X805" s="1970"/>
      <c r="Y805" s="1970"/>
      <c r="Z805" s="1975">
        <v>20</v>
      </c>
      <c r="AA805" s="1976"/>
      <c r="AB805" s="1976"/>
      <c r="AC805" s="1976"/>
      <c r="AD805" s="1976"/>
      <c r="AE805" s="1977"/>
      <c r="AF805" s="2097"/>
      <c r="AG805" s="2097"/>
      <c r="AH805" s="2097"/>
      <c r="AI805" s="2097"/>
      <c r="AJ805" s="2097"/>
      <c r="AK805" s="209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68" t="s">
        <v>857</v>
      </c>
      <c r="C806" s="2068"/>
      <c r="D806" s="2068"/>
      <c r="E806" s="2068"/>
      <c r="F806" s="2068"/>
      <c r="G806" s="2068"/>
      <c r="H806" s="2068"/>
      <c r="I806" s="2068"/>
      <c r="J806" s="2068"/>
      <c r="K806" s="2068"/>
      <c r="L806" s="2068"/>
      <c r="M806" s="2068"/>
      <c r="N806" s="2068"/>
      <c r="O806" s="2068"/>
      <c r="P806" s="2068"/>
      <c r="Q806" s="2068"/>
      <c r="R806" s="2068"/>
      <c r="S806" s="2069"/>
      <c r="T806" s="2094">
        <f>AK458</f>
        <v>10</v>
      </c>
      <c r="U806" s="2094"/>
      <c r="V806" s="2094"/>
      <c r="W806" s="2094"/>
      <c r="X806" s="2094"/>
      <c r="Y806" s="2094"/>
      <c r="Z806" s="2100">
        <v>10</v>
      </c>
      <c r="AA806" s="2101"/>
      <c r="AB806" s="2101"/>
      <c r="AC806" s="2101"/>
      <c r="AD806" s="2101"/>
      <c r="AE806" s="2102"/>
      <c r="AF806" s="2037">
        <f>IF(T806&gt;Z806,Z806,T806)</f>
        <v>10</v>
      </c>
      <c r="AG806" s="2037"/>
      <c r="AH806" s="2037"/>
      <c r="AI806" s="2037"/>
      <c r="AJ806" s="2037"/>
      <c r="AK806" s="20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68" t="s">
        <v>1672</v>
      </c>
      <c r="C807" s="2068"/>
      <c r="D807" s="2068"/>
      <c r="E807" s="2068"/>
      <c r="F807" s="2068"/>
      <c r="G807" s="2068"/>
      <c r="H807" s="2068"/>
      <c r="I807" s="2068"/>
      <c r="J807" s="2068"/>
      <c r="K807" s="2068"/>
      <c r="L807" s="2068"/>
      <c r="M807" s="2068"/>
      <c r="N807" s="2068"/>
      <c r="O807" s="2068"/>
      <c r="P807" s="2068"/>
      <c r="Q807" s="2068"/>
      <c r="R807" s="2068"/>
      <c r="S807" s="2069"/>
      <c r="T807" s="2094">
        <f>AK548</f>
        <v>12</v>
      </c>
      <c r="U807" s="2094"/>
      <c r="V807" s="2094"/>
      <c r="W807" s="2094"/>
      <c r="X807" s="2094"/>
      <c r="Y807" s="2094"/>
      <c r="Z807" s="2100">
        <v>12</v>
      </c>
      <c r="AA807" s="2101"/>
      <c r="AB807" s="2101"/>
      <c r="AC807" s="2101"/>
      <c r="AD807" s="2101"/>
      <c r="AE807" s="2102"/>
      <c r="AF807" s="2037">
        <f>IF(T807&gt;Z807,Z807,T807)</f>
        <v>12</v>
      </c>
      <c r="AG807" s="2037"/>
      <c r="AH807" s="2037"/>
      <c r="AI807" s="2037"/>
      <c r="AJ807" s="2037"/>
      <c r="AK807" s="20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2331</v>
      </c>
      <c r="B808" s="2068" t="s">
        <v>1694</v>
      </c>
      <c r="C808" s="2068"/>
      <c r="D808" s="2068"/>
      <c r="E808" s="2068"/>
      <c r="F808" s="2068"/>
      <c r="G808" s="2068"/>
      <c r="H808" s="2068"/>
      <c r="I808" s="2068"/>
      <c r="J808" s="2068"/>
      <c r="K808" s="2068"/>
      <c r="L808" s="2068"/>
      <c r="M808" s="2068"/>
      <c r="N808" s="2068"/>
      <c r="O808" s="2068"/>
      <c r="P808" s="2068"/>
      <c r="Q808" s="2068"/>
      <c r="R808" s="2068"/>
      <c r="S808" s="2069"/>
      <c r="T808" s="2094">
        <f>AK783</f>
        <v>10</v>
      </c>
      <c r="U808" s="2094"/>
      <c r="V808" s="2094"/>
      <c r="W808" s="2094"/>
      <c r="X808" s="2094"/>
      <c r="Y808" s="2094"/>
      <c r="Z808" s="2100">
        <v>10</v>
      </c>
      <c r="AA808" s="2101"/>
      <c r="AB808" s="2101"/>
      <c r="AC808" s="2101"/>
      <c r="AD808" s="2101"/>
      <c r="AE808" s="2102"/>
      <c r="AF808" s="2037">
        <f>IF(T808&gt;Z808,Z808,T808)</f>
        <v>10</v>
      </c>
      <c r="AG808" s="2037"/>
      <c r="AH808" s="2037"/>
      <c r="AI808" s="2037"/>
      <c r="AJ808" s="2037"/>
      <c r="AK808" s="20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8" t="s">
        <v>1695</v>
      </c>
      <c r="B809" s="2068"/>
      <c r="C809" s="2068"/>
      <c r="D809" s="2068"/>
      <c r="E809" s="2068"/>
      <c r="F809" s="2068"/>
      <c r="G809" s="2068"/>
      <c r="H809" s="2068"/>
      <c r="I809" s="2068"/>
      <c r="J809" s="2068"/>
      <c r="K809" s="2068"/>
      <c r="L809" s="2068"/>
      <c r="M809" s="2068"/>
      <c r="N809" s="2068"/>
      <c r="O809" s="2068"/>
      <c r="P809" s="2068"/>
      <c r="Q809" s="2068"/>
      <c r="R809" s="2068"/>
      <c r="S809" s="2069"/>
      <c r="T809" s="2099"/>
      <c r="U809" s="2099"/>
      <c r="V809" s="2099"/>
      <c r="W809" s="2099"/>
      <c r="X809" s="2099"/>
      <c r="Y809" s="2099"/>
      <c r="Z809" s="1971" t="s">
        <v>1696</v>
      </c>
      <c r="AA809" s="1971"/>
      <c r="AB809" s="1971"/>
      <c r="AC809" s="1971"/>
      <c r="AD809" s="1971"/>
      <c r="AE809" s="1971"/>
      <c r="AF809" s="2100">
        <f>IF(T809&gt;0,T809,0)</f>
        <v>0</v>
      </c>
      <c r="AG809" s="2101"/>
      <c r="AH809" s="2101"/>
      <c r="AI809" s="2101"/>
      <c r="AJ809" s="2101"/>
      <c r="AK809" s="210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3" t="s">
        <v>1697</v>
      </c>
      <c r="B810" s="2104"/>
      <c r="C810" s="2104"/>
      <c r="D810" s="2104"/>
      <c r="E810" s="2104"/>
      <c r="F810" s="2104"/>
      <c r="G810" s="2104"/>
      <c r="H810" s="2104"/>
      <c r="I810" s="2104"/>
      <c r="J810" s="2104"/>
      <c r="K810" s="2104"/>
      <c r="L810" s="2104"/>
      <c r="M810" s="2104"/>
      <c r="N810" s="2104"/>
      <c r="O810" s="2104"/>
      <c r="P810" s="2104"/>
      <c r="Q810" s="2104"/>
      <c r="R810" s="2104"/>
      <c r="S810" s="2104"/>
      <c r="T810" s="2104"/>
      <c r="U810" s="2104"/>
      <c r="V810" s="2104"/>
      <c r="W810" s="2104"/>
      <c r="X810" s="2104"/>
      <c r="Y810" s="2104"/>
      <c r="Z810" s="2104"/>
      <c r="AA810" s="2104"/>
      <c r="AB810" s="2104"/>
      <c r="AC810" s="2104"/>
      <c r="AD810" s="2104"/>
      <c r="AE810" s="2105"/>
      <c r="AF810" s="2109">
        <f ca="1">SUM(AF793:AK808)-AF809</f>
        <v>120</v>
      </c>
      <c r="AG810" s="2110"/>
      <c r="AH810" s="2110"/>
      <c r="AI810" s="2110"/>
      <c r="AJ810" s="2110"/>
      <c r="AK810" s="211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6"/>
      <c r="B811" s="2107"/>
      <c r="C811" s="2107"/>
      <c r="D811" s="2107"/>
      <c r="E811" s="2107"/>
      <c r="F811" s="2107"/>
      <c r="G811" s="2107"/>
      <c r="H811" s="2107"/>
      <c r="I811" s="2107"/>
      <c r="J811" s="2107"/>
      <c r="K811" s="2107"/>
      <c r="L811" s="2107"/>
      <c r="M811" s="2107"/>
      <c r="N811" s="2107"/>
      <c r="O811" s="2107"/>
      <c r="P811" s="2107"/>
      <c r="Q811" s="2107"/>
      <c r="R811" s="2107"/>
      <c r="S811" s="2107"/>
      <c r="T811" s="2107"/>
      <c r="U811" s="2107"/>
      <c r="V811" s="2107"/>
      <c r="W811" s="2107"/>
      <c r="X811" s="2107"/>
      <c r="Y811" s="2107"/>
      <c r="Z811" s="2107"/>
      <c r="AA811" s="2107"/>
      <c r="AB811" s="2107"/>
      <c r="AC811" s="2107"/>
      <c r="AD811" s="2107"/>
      <c r="AE811" s="2108"/>
      <c r="AF811" s="2112"/>
      <c r="AG811" s="2113"/>
      <c r="AH811" s="2113"/>
      <c r="AI811" s="2113"/>
      <c r="AJ811" s="2113"/>
      <c r="AK811" s="211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A10" workbookViewId="0">
      <selection activeCell="L102" sqref="L10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9" t="s">
        <v>1698</v>
      </c>
      <c r="B1" s="2159"/>
      <c r="C1" s="2159"/>
      <c r="D1" s="2159"/>
      <c r="E1" s="2159"/>
      <c r="F1" s="2159"/>
      <c r="G1" s="2159"/>
      <c r="H1" s="2159"/>
      <c r="I1" s="2159"/>
      <c r="J1" s="2159"/>
    </row>
    <row r="2" spans="1:13" ht="15" customHeight="1" thickBot="1">
      <c r="A2" s="1081"/>
      <c r="B2" s="1081"/>
      <c r="I2" s="1082"/>
      <c r="K2" s="1083"/>
    </row>
    <row r="3" spans="1:13" s="1086" customFormat="1" ht="20.100000000000001" customHeight="1">
      <c r="A3" s="1140"/>
      <c r="B3" s="1141"/>
      <c r="C3" s="1142"/>
      <c r="D3" s="1147"/>
      <c r="E3" s="1142"/>
      <c r="F3" s="1143" t="s">
        <v>2296</v>
      </c>
      <c r="G3" s="1142"/>
      <c r="H3" s="1144">
        <f>E16</f>
        <v>49724060</v>
      </c>
      <c r="I3" s="1145"/>
    </row>
    <row r="4" spans="1:13" s="1086" customFormat="1" ht="20.100000000000001" customHeight="1">
      <c r="B4" s="1134"/>
      <c r="D4" s="1148"/>
      <c r="F4" s="1132" t="s">
        <v>2298</v>
      </c>
      <c r="G4" s="1131" t="s">
        <v>2297</v>
      </c>
      <c r="H4" s="1133">
        <f>I16</f>
        <v>62759938.53145425</v>
      </c>
      <c r="I4" s="1135"/>
      <c r="K4" s="1090"/>
    </row>
    <row r="5" spans="1:13" s="1086" customFormat="1" ht="20.100000000000001" customHeight="1" thickBot="1">
      <c r="B5" s="1136"/>
      <c r="C5" s="1137"/>
      <c r="D5" s="1149"/>
      <c r="E5" s="1138"/>
      <c r="F5" s="1149" t="s">
        <v>2238</v>
      </c>
      <c r="G5" s="1150"/>
      <c r="H5" s="1146">
        <f>H3/H4</f>
        <v>0.79228981358990846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1" t="s">
        <v>2236</v>
      </c>
      <c r="C8" s="2162"/>
      <c r="D8" s="2162"/>
      <c r="E8" s="2163"/>
      <c r="G8" s="2164" t="s">
        <v>2237</v>
      </c>
      <c r="H8" s="2165"/>
      <c r="I8" s="2166"/>
      <c r="K8" s="1092"/>
    </row>
    <row r="9" spans="1:13" ht="15" customHeight="1">
      <c r="A9" s="1081"/>
      <c r="B9" s="2160" t="s">
        <v>2275</v>
      </c>
      <c r="C9" s="2160"/>
      <c r="D9" s="2160"/>
      <c r="E9" s="1094">
        <f>G31</f>
        <v>10300000</v>
      </c>
      <c r="G9" s="2169" t="s">
        <v>2273</v>
      </c>
      <c r="H9" s="2169"/>
      <c r="I9" s="1095">
        <f>Application!AM554</f>
        <v>49430297</v>
      </c>
      <c r="K9" s="1096"/>
      <c r="M9" s="1097"/>
    </row>
    <row r="10" spans="1:13" ht="15" customHeight="1" thickBot="1">
      <c r="A10" s="1081"/>
      <c r="B10" s="2160" t="s">
        <v>2276</v>
      </c>
      <c r="C10" s="2160"/>
      <c r="D10" s="2160"/>
      <c r="E10" s="1095">
        <f>G40</f>
        <v>26292060</v>
      </c>
      <c r="G10" s="2169" t="s">
        <v>2239</v>
      </c>
      <c r="H10" s="2169"/>
      <c r="I10" s="1182">
        <f>'Basis &amp; Credits'!AB77</f>
        <v>22168328</v>
      </c>
      <c r="M10" s="1097"/>
    </row>
    <row r="11" spans="1:13" ht="15" customHeight="1">
      <c r="A11" s="1098"/>
      <c r="B11" s="2160" t="s">
        <v>2277</v>
      </c>
      <c r="C11" s="2160"/>
      <c r="D11" s="2160"/>
      <c r="E11" s="1095">
        <f>G49</f>
        <v>0</v>
      </c>
      <c r="G11" s="2169" t="s">
        <v>2288</v>
      </c>
      <c r="H11" s="2169"/>
      <c r="I11" s="1181">
        <f>I9+I10</f>
        <v>71598625</v>
      </c>
      <c r="M11" s="1097"/>
    </row>
    <row r="12" spans="1:13" ht="15" customHeight="1">
      <c r="A12" s="1084"/>
      <c r="B12" s="2160" t="s">
        <v>2278</v>
      </c>
      <c r="C12" s="2160"/>
      <c r="D12" s="2160"/>
      <c r="E12" s="1095">
        <f>G58</f>
        <v>360000</v>
      </c>
      <c r="G12" s="1183" t="s">
        <v>2313</v>
      </c>
      <c r="H12" s="1184"/>
      <c r="M12" s="1097"/>
    </row>
    <row r="13" spans="1:13" ht="15" customHeight="1">
      <c r="A13" s="1081"/>
      <c r="B13" s="2160" t="s">
        <v>2279</v>
      </c>
      <c r="C13" s="2160"/>
      <c r="D13" s="2160"/>
      <c r="E13" s="1100">
        <f>G83</f>
        <v>6592000</v>
      </c>
      <c r="G13" s="2170" t="s">
        <v>139</v>
      </c>
      <c r="H13" s="2170"/>
      <c r="I13" s="1099">
        <f>15%*(Application!AJ993&gt;0)</f>
        <v>0.15</v>
      </c>
      <c r="M13" s="1097"/>
    </row>
    <row r="14" spans="1:13" ht="15" customHeight="1">
      <c r="A14" s="1081"/>
      <c r="B14" s="2160" t="s">
        <v>2280</v>
      </c>
      <c r="C14" s="2160"/>
      <c r="D14" s="2160"/>
      <c r="E14" s="1095">
        <f>IF(G96&gt;G106,G96,0)</f>
        <v>6180000</v>
      </c>
      <c r="G14" s="1179" t="s">
        <v>2289</v>
      </c>
      <c r="H14" s="1179"/>
      <c r="I14" s="1099">
        <f>IF(Application!AJ1031&gt;0,10%,IF(Application!AJ1035&gt;0,5%,0))</f>
        <v>0</v>
      </c>
      <c r="M14" s="1097"/>
    </row>
    <row r="15" spans="1:13" ht="15" customHeight="1" thickBot="1">
      <c r="A15" s="1081"/>
      <c r="B15" s="2167" t="s">
        <v>2299</v>
      </c>
      <c r="C15" s="2167"/>
      <c r="D15" s="2167"/>
      <c r="E15" s="1151">
        <f>IF(E14&gt;0,0,G106)</f>
        <v>0</v>
      </c>
      <c r="G15" s="2173" t="s">
        <v>2290</v>
      </c>
      <c r="H15" s="2174"/>
      <c r="I15" s="1153">
        <f>G114</f>
        <v>-2.6552287581699346E-2</v>
      </c>
      <c r="M15" s="1097"/>
    </row>
    <row r="16" spans="1:13" ht="15" customHeight="1">
      <c r="A16" s="1081"/>
      <c r="B16" s="2168" t="s">
        <v>2235</v>
      </c>
      <c r="C16" s="2168"/>
      <c r="D16" s="2168"/>
      <c r="E16" s="1152">
        <f>SUM(E9:E15)</f>
        <v>49724060</v>
      </c>
      <c r="G16" s="1180" t="s">
        <v>2274</v>
      </c>
      <c r="H16" s="1180"/>
      <c r="I16" s="1154">
        <f>I11-((I11*I13)+(I11*I14)+(I11*I15))</f>
        <v>62759938.53145425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170</v>
      </c>
      <c r="O18" s="1124" t="s">
        <v>591</v>
      </c>
      <c r="P18" s="1079">
        <f>MATCH(Application!T189,Application!BV490:BV547,0)</f>
        <v>33</v>
      </c>
      <c r="S18" s="1101">
        <f>SUM(Cdlac[Population])</f>
        <v>0</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386</v>
      </c>
    </row>
    <row r="20" spans="1:20" ht="15" customHeight="1">
      <c r="A20" s="1084"/>
      <c r="C20" s="2171" t="s">
        <v>2292</v>
      </c>
      <c r="D20" s="2171" t="s">
        <v>2293</v>
      </c>
      <c r="E20" s="2171" t="s">
        <v>2294</v>
      </c>
      <c r="F20" s="2171" t="s">
        <v>2295</v>
      </c>
      <c r="G20" s="2171" t="s">
        <v>2291</v>
      </c>
      <c r="H20" s="1108"/>
      <c r="I20" s="1107"/>
      <c r="L20" s="1079">
        <f>IFERROR(MIN(4,MATCH(Application!B718,UnitSizes,0)-1),"")</f>
        <v>1</v>
      </c>
      <c r="M20" s="1101">
        <f>Application!G718</f>
        <v>7</v>
      </c>
      <c r="N20" s="1109">
        <f>Application!AC718</f>
        <v>0.3</v>
      </c>
      <c r="O20" s="1109">
        <f>IF(Cdlac[[#This Row],[Quantity]]&gt;0,IF(Cdlac[[#This Row],[Federal]],30%,IF($G$36,40%,Cdlac[[#This Row],[iAMI]])),"")</f>
        <v>0.3</v>
      </c>
      <c r="P20" s="1101" cm="1">
        <f t="array" ref="P20">IF(Cdlac[[#This Row],[Quantity]]&gt;0,INDEX(TcacRents,$P$18,Cdlac[[#This Row],[Bedrooms]]+1)*Cdlac[[#This Row],[AMI]],"")</f>
        <v>524.4</v>
      </c>
      <c r="Q20" s="1101" cm="1">
        <f t="array" ref="Q20">IF(Cdlac[[#This Row],[Quantity]]&gt;0,INDEX(HudFmrs,$P$18,Cdlac[[#This Row],[Bedrooms]]+1),"")</f>
        <v>1398</v>
      </c>
      <c r="R20" s="1101">
        <f>IF(Cdlac[[#This Row],[Quantity]]&gt;0,MAX(0,Cdlac[[#This Row],[Fair Market Rent]]-Cdlac[[#This Row],[Restricted Rent]]),"")</f>
        <v>873.6</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72"/>
      <c r="D21" s="2172"/>
      <c r="E21" s="2172"/>
      <c r="F21" s="2172"/>
      <c r="G21" s="2172"/>
      <c r="H21" s="1108"/>
      <c r="I21" s="1107"/>
      <c r="L21" s="1079">
        <f>IFERROR(MIN(4,MATCH(Application!B719,UnitSizes,0)-1),"")</f>
        <v>2</v>
      </c>
      <c r="M21" s="1101">
        <f>Application!G719</f>
        <v>5</v>
      </c>
      <c r="N21" s="1109">
        <f>Application!AC719</f>
        <v>0.3</v>
      </c>
      <c r="O21" s="1109">
        <f>IF(Cdlac[[#This Row],[Quantity]]&gt;0,IF(Cdlac[[#This Row],[Federal]],30%,IF($G$36,40%,Cdlac[[#This Row],[iAMI]])),"")</f>
        <v>0.3</v>
      </c>
      <c r="P21" s="1101" cm="1">
        <f t="array" ref="P21">IF(Cdlac[[#This Row],[Quantity]]&gt;0,INDEX(TcacRents,$P$18,Cdlac[[#This Row],[Bedrooms]]+1)*Cdlac[[#This Row],[AMI]],"")</f>
        <v>628.79999999999995</v>
      </c>
      <c r="Q21" s="1101" cm="1">
        <f t="array" ref="Q21">IF(Cdlac[[#This Row],[Quantity]]&gt;0,INDEX(HudFmrs,$P$18,Cdlac[[#This Row],[Bedrooms]]+1),"")</f>
        <v>1751</v>
      </c>
      <c r="R21" s="1101">
        <f>IF(Cdlac[[#This Row],[Quantity]]&gt;0,MAX(0,Cdlac[[#This Row],[Fair Market Rent]]-Cdlac[[#This Row],[Restricted Rent]]),"")</f>
        <v>1122.2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4</v>
      </c>
      <c r="N22" s="1109">
        <f>Application!AC720</f>
        <v>0.3</v>
      </c>
      <c r="O22" s="1109">
        <f>IF(Cdlac[[#This Row],[Quantity]]&gt;0,IF(Cdlac[[#This Row],[Federal]],30%,IF($G$36,40%,Cdlac[[#This Row],[iAMI]])),"")</f>
        <v>0.3</v>
      </c>
      <c r="P22" s="1101" cm="1">
        <f t="array" ref="P22">IF(Cdlac[[#This Row],[Quantity]]&gt;0,INDEX(TcacRents,$P$18,Cdlac[[#This Row],[Bedrooms]]+1)*Cdlac[[#This Row],[AMI]],"")</f>
        <v>726.6</v>
      </c>
      <c r="Q22" s="1101" cm="1">
        <f t="array" ref="Q22">IF(Cdlac[[#This Row],[Quantity]]&gt;0,INDEX(HudFmrs,$P$18,Cdlac[[#This Row],[Bedrooms]]+1),"")</f>
        <v>2376</v>
      </c>
      <c r="R22" s="1101">
        <f>IF(Cdlac[[#This Row],[Quantity]]&gt;0,MAX(0,Cdlac[[#This Row],[Fair Market Rent]]-Cdlac[[#This Row],[Restricted Rent]]),"")</f>
        <v>1649.4</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78</v>
      </c>
      <c r="F23" s="1110">
        <f>E23</f>
        <v>78</v>
      </c>
      <c r="G23" s="1110">
        <f>D23*F23</f>
        <v>78</v>
      </c>
      <c r="L23" s="1079">
        <f>IFERROR(MIN(4,MATCH(Application!B721,UnitSizes,0)-1),"")</f>
        <v>4</v>
      </c>
      <c r="M23" s="1101">
        <f>Application!G721</f>
        <v>2</v>
      </c>
      <c r="N23" s="1109">
        <f>Application!AC721</f>
        <v>0.3</v>
      </c>
      <c r="O23" s="1109">
        <f>IF(Cdlac[[#This Row],[Quantity]]&gt;0,IF(Cdlac[[#This Row],[Federal]],30%,IF($G$36,40%,Cdlac[[#This Row],[iAMI]])),"")</f>
        <v>0.3</v>
      </c>
      <c r="P23" s="1101" cm="1">
        <f t="array" ref="P23">IF(Cdlac[[#This Row],[Quantity]]&gt;0,INDEX(TcacRents,$P$18,Cdlac[[#This Row],[Bedrooms]]+1)*Cdlac[[#This Row],[AMI]],"")</f>
        <v>811.19999999999993</v>
      </c>
      <c r="Q23" s="1101" cm="1">
        <f t="array" ref="Q23">IF(Cdlac[[#This Row],[Quantity]]&gt;0,INDEX(HudFmrs,$P$18,Cdlac[[#This Row],[Bedrooms]]+1),"")</f>
        <v>2922</v>
      </c>
      <c r="R23" s="1101">
        <f>IF(Cdlac[[#This Row],[Quantity]]&gt;0,MAX(0,Cdlac[[#This Row],[Fair Market Rent]]-Cdlac[[#This Row],[Restricted Rent]]),"")</f>
        <v>2110.8000000000002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48</v>
      </c>
      <c r="F24" s="1113">
        <f>SUM(E24:E26)-SUM(F25:F26)</f>
        <v>48</v>
      </c>
      <c r="G24" s="1110">
        <f>D24*F24</f>
        <v>60</v>
      </c>
      <c r="H24" s="1112"/>
      <c r="I24" s="1112"/>
      <c r="L24" s="1079">
        <f>IFERROR(MIN(4,MATCH(Application!B722,UnitSizes,0)-1),"")</f>
        <v>1</v>
      </c>
      <c r="M24" s="1101">
        <f>Application!G722</f>
        <v>5</v>
      </c>
      <c r="N24" s="1109">
        <f>Application!AC722</f>
        <v>0.4</v>
      </c>
      <c r="O24" s="1109">
        <f>IF(Cdlac[[#This Row],[Quantity]]&gt;0,IF(Cdlac[[#This Row],[Federal]],30%,IF($G$36,40%,Cdlac[[#This Row],[iAMI]])),"")</f>
        <v>0.3</v>
      </c>
      <c r="P24" s="1101" cm="1">
        <f t="array" ref="P24">IF(Cdlac[[#This Row],[Quantity]]&gt;0,INDEX(TcacRents,$P$18,Cdlac[[#This Row],[Bedrooms]]+1)*Cdlac[[#This Row],[AMI]],"")</f>
        <v>524.4</v>
      </c>
      <c r="Q24" s="1101" cm="1">
        <f t="array" ref="Q24">IF(Cdlac[[#This Row],[Quantity]]&gt;0,INDEX(HudFmrs,$P$18,Cdlac[[#This Row],[Bedrooms]]+1),"")</f>
        <v>1398</v>
      </c>
      <c r="R24" s="1101">
        <f>IF(Cdlac[[#This Row],[Quantity]]&gt;0,MAX(0,Cdlac[[#This Row],[Fair Market Rent]]-Cdlac[[#This Row],[Restricted Rent]]),"")</f>
        <v>873.6</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36</v>
      </c>
      <c r="F25" s="1113">
        <f>MIN(E25,ROUNDDOWN(E27*30%,0))</f>
        <v>36</v>
      </c>
      <c r="G25" s="1110">
        <f>D25*F25</f>
        <v>54</v>
      </c>
      <c r="H25" s="1112"/>
      <c r="I25" s="1112"/>
      <c r="L25" s="1079">
        <f>IFERROR(MIN(4,MATCH(Application!B723,UnitSizes,0)-1),"")</f>
        <v>1</v>
      </c>
      <c r="M25" s="1101">
        <f>Application!G723</f>
        <v>17</v>
      </c>
      <c r="N25" s="1109">
        <f>Application!AC723</f>
        <v>0.4</v>
      </c>
      <c r="O25" s="1109">
        <f>IF(Cdlac[[#This Row],[Quantity]]&gt;0,IF(Cdlac[[#This Row],[Federal]],30%,IF($G$36,40%,Cdlac[[#This Row],[iAMI]])),"")</f>
        <v>0.4</v>
      </c>
      <c r="P25" s="1101" cm="1">
        <f t="array" ref="P25">IF(Cdlac[[#This Row],[Quantity]]&gt;0,INDEX(TcacRents,$P$18,Cdlac[[#This Row],[Bedrooms]]+1)*Cdlac[[#This Row],[AMI]],"")</f>
        <v>699.2</v>
      </c>
      <c r="Q25" s="1101" cm="1">
        <f t="array" ref="Q25">IF(Cdlac[[#This Row],[Quantity]]&gt;0,INDEX(HudFmrs,$P$18,Cdlac[[#This Row],[Bedrooms]]+1),"")</f>
        <v>1398</v>
      </c>
      <c r="R25" s="1101">
        <f>IF(Cdlac[[#This Row],[Quantity]]&gt;0,MAX(0,Cdlac[[#This Row],[Fair Market Rent]]-Cdlac[[#This Row],[Restricted Rent]]),"")</f>
        <v>698.8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8</v>
      </c>
      <c r="F26" s="1126">
        <f>MIN(E26,ROUNDDOWN(E27*10%,0))</f>
        <v>8</v>
      </c>
      <c r="G26" s="1128">
        <f>D26*F26</f>
        <v>14</v>
      </c>
      <c r="H26" s="1112"/>
      <c r="I26" s="1112"/>
      <c r="L26" s="1079">
        <f>IFERROR(MIN(4,MATCH(Application!B724,UnitSizes,0)-1),"")</f>
        <v>2</v>
      </c>
      <c r="M26" s="1101">
        <f>Application!G724</f>
        <v>10</v>
      </c>
      <c r="N26" s="1109">
        <f>Application!AC724</f>
        <v>0.4</v>
      </c>
      <c r="O26" s="1109">
        <f>IF(Cdlac[[#This Row],[Quantity]]&gt;0,IF(Cdlac[[#This Row],[Federal]],30%,IF($G$36,40%,Cdlac[[#This Row],[iAMI]])),"")</f>
        <v>0.3</v>
      </c>
      <c r="P26" s="1101" cm="1">
        <f t="array" ref="P26">IF(Cdlac[[#This Row],[Quantity]]&gt;0,INDEX(TcacRents,$P$18,Cdlac[[#This Row],[Bedrooms]]+1)*Cdlac[[#This Row],[AMI]],"")</f>
        <v>628.79999999999995</v>
      </c>
      <c r="Q26" s="1101" cm="1">
        <f t="array" ref="Q26">IF(Cdlac[[#This Row],[Quantity]]&gt;0,INDEX(HudFmrs,$P$18,Cdlac[[#This Row],[Bedrooms]]+1),"")</f>
        <v>1751</v>
      </c>
      <c r="R26" s="1101">
        <f>IF(Cdlac[[#This Row],[Quantity]]&gt;0,MAX(0,Cdlac[[#This Row],[Fair Market Rent]]-Cdlac[[#This Row],[Restricted Rent]]),"")</f>
        <v>1122.2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5" t="s">
        <v>1699</v>
      </c>
      <c r="D27" s="2156"/>
      <c r="E27" s="1129">
        <f>SUM(E22:E26)</f>
        <v>170</v>
      </c>
      <c r="F27" s="1129">
        <f>SUM(F22:F26)</f>
        <v>170</v>
      </c>
      <c r="G27" s="1130">
        <f>SUMPRODUCT(D22:D26,F22:F26)</f>
        <v>206</v>
      </c>
      <c r="H27" s="1112"/>
      <c r="I27" s="1112"/>
      <c r="L27" s="1079">
        <f>IFERROR(MIN(4,MATCH(Application!B725,UnitSizes,0)-1),"")</f>
        <v>3</v>
      </c>
      <c r="M27" s="1101">
        <f>Application!G725</f>
        <v>8</v>
      </c>
      <c r="N27" s="1109">
        <f>Application!AC725</f>
        <v>0.4</v>
      </c>
      <c r="O27" s="1109">
        <f>IF(Cdlac[[#This Row],[Quantity]]&gt;0,IF(Cdlac[[#This Row],[Federal]],30%,IF($G$36,40%,Cdlac[[#This Row],[iAMI]])),"")</f>
        <v>0.3</v>
      </c>
      <c r="P27" s="1101" cm="1">
        <f t="array" ref="P27">IF(Cdlac[[#This Row],[Quantity]]&gt;0,INDEX(TcacRents,$P$18,Cdlac[[#This Row],[Bedrooms]]+1)*Cdlac[[#This Row],[AMI]],"")</f>
        <v>726.6</v>
      </c>
      <c r="Q27" s="1101" cm="1">
        <f t="array" ref="Q27">IF(Cdlac[[#This Row],[Quantity]]&gt;0,INDEX(HudFmrs,$P$18,Cdlac[[#This Row],[Bedrooms]]+1),"")</f>
        <v>2376</v>
      </c>
      <c r="R27" s="1101">
        <f>IF(Cdlac[[#This Row],[Quantity]]&gt;0,MAX(0,Cdlac[[#This Row],[Fair Market Rent]]-Cdlac[[#This Row],[Restricted Rent]]),"")</f>
        <v>1649.4</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4</v>
      </c>
      <c r="M28" s="1101">
        <f>Application!G726</f>
        <v>2</v>
      </c>
      <c r="N28" s="1109">
        <f>Application!AC726</f>
        <v>0.4</v>
      </c>
      <c r="O28" s="1109">
        <f>IF(Cdlac[[#This Row],[Quantity]]&gt;0,IF(Cdlac[[#This Row],[Federal]],30%,IF($G$36,40%,Cdlac[[#This Row],[iAMI]])),"")</f>
        <v>0.3</v>
      </c>
      <c r="P28" s="1101" cm="1">
        <f t="array" ref="P28">IF(Cdlac[[#This Row],[Quantity]]&gt;0,INDEX(TcacRents,$P$18,Cdlac[[#This Row],[Bedrooms]]+1)*Cdlac[[#This Row],[AMI]],"")</f>
        <v>811.19999999999993</v>
      </c>
      <c r="Q28" s="1101" cm="1">
        <f t="array" ref="Q28">IF(Cdlac[[#This Row],[Quantity]]&gt;0,INDEX(HudFmrs,$P$18,Cdlac[[#This Row],[Bedrooms]]+1),"")</f>
        <v>2922</v>
      </c>
      <c r="R28" s="1101">
        <f>IF(Cdlac[[#This Row],[Quantity]]&gt;0,MAX(0,Cdlac[[#This Row],[Fair Market Rent]]-Cdlac[[#This Row],[Restricted Rent]]),"")</f>
        <v>2110.8000000000002</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2291</v>
      </c>
      <c r="G29" s="1156">
        <f>G27</f>
        <v>206</v>
      </c>
      <c r="H29" s="1112"/>
      <c r="I29" s="1112"/>
      <c r="L29" s="1079">
        <f>IFERROR(MIN(4,MATCH(Application!B727,UnitSizes,0)-1),"")</f>
        <v>1</v>
      </c>
      <c r="M29" s="1101">
        <f>Application!G727</f>
        <v>4</v>
      </c>
      <c r="N29" s="1109">
        <f>Application!AC727</f>
        <v>0.5</v>
      </c>
      <c r="O29" s="1109">
        <f>IF(Cdlac[[#This Row],[Quantity]]&gt;0,IF(Cdlac[[#This Row],[Federal]],30%,IF($G$36,40%,Cdlac[[#This Row],[iAMI]])),"")</f>
        <v>0.3</v>
      </c>
      <c r="P29" s="1101" cm="1">
        <f t="array" ref="P29">IF(Cdlac[[#This Row],[Quantity]]&gt;0,INDEX(TcacRents,$P$18,Cdlac[[#This Row],[Bedrooms]]+1)*Cdlac[[#This Row],[AMI]],"")</f>
        <v>524.4</v>
      </c>
      <c r="Q29" s="1101" cm="1">
        <f t="array" ref="Q29">IF(Cdlac[[#This Row],[Quantity]]&gt;0,INDEX(HudFmrs,$P$18,Cdlac[[#This Row],[Bedrooms]]+1),"")</f>
        <v>1398</v>
      </c>
      <c r="R29" s="1101">
        <f>IF(Cdlac[[#This Row],[Quantity]]&gt;0,MAX(0,Cdlac[[#This Row],[Fair Market Rent]]-Cdlac[[#This Row],[Restricted Rent]]),"")</f>
        <v>873.6</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2243</v>
      </c>
      <c r="F30" s="1155" t="s">
        <v>2300</v>
      </c>
      <c r="G30" s="1157">
        <v>50000</v>
      </c>
      <c r="H30" s="1112"/>
      <c r="I30" s="1112"/>
      <c r="L30" s="1079">
        <f>IFERROR(MIN(4,MATCH(Application!B728,UnitSizes,0)-1),"")</f>
        <v>1</v>
      </c>
      <c r="M30" s="1101">
        <f>Application!G728</f>
        <v>20</v>
      </c>
      <c r="N30" s="1109">
        <f>Application!AC728</f>
        <v>0.5</v>
      </c>
      <c r="O30" s="1109">
        <f>IF(Cdlac[[#This Row],[Quantity]]&gt;0,IF(Cdlac[[#This Row],[Federal]],30%,IF($G$36,40%,Cdlac[[#This Row],[iAMI]])),"")</f>
        <v>0.5</v>
      </c>
      <c r="P30" s="1101" cm="1">
        <f t="array" ref="P30">IF(Cdlac[[#This Row],[Quantity]]&gt;0,INDEX(TcacRents,$P$18,Cdlac[[#This Row],[Bedrooms]]+1)*Cdlac[[#This Row],[AMI]],"")</f>
        <v>874</v>
      </c>
      <c r="Q30" s="1101" cm="1">
        <f t="array" ref="Q30">IF(Cdlac[[#This Row],[Quantity]]&gt;0,INDEX(HudFmrs,$P$18,Cdlac[[#This Row],[Bedrooms]]+1),"")</f>
        <v>1398</v>
      </c>
      <c r="R30" s="1101">
        <f>IF(Cdlac[[#This Row],[Quantity]]&gt;0,MAX(0,Cdlac[[#This Row],[Fair Market Rent]]-Cdlac[[#This Row],[Restricted Rent]]),"")</f>
        <v>524</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2284</v>
      </c>
      <c r="F31" s="1081"/>
      <c r="G31" s="1161">
        <f>G30*G29</f>
        <v>10300000</v>
      </c>
      <c r="H31" s="1112"/>
      <c r="I31" s="1112"/>
      <c r="L31" s="1079">
        <f>IFERROR(MIN(4,MATCH(Application!B729,UnitSizes,0)-1),"")</f>
        <v>2</v>
      </c>
      <c r="M31" s="1101">
        <f>Application!G729</f>
        <v>8</v>
      </c>
      <c r="N31" s="1109">
        <f>Application!AC729</f>
        <v>0.5</v>
      </c>
      <c r="O31" s="1109">
        <f>IF(Cdlac[[#This Row],[Quantity]]&gt;0,IF(Cdlac[[#This Row],[Federal]],30%,IF($G$36,40%,Cdlac[[#This Row],[iAMI]])),"")</f>
        <v>0.5</v>
      </c>
      <c r="P31" s="1101" cm="1">
        <f t="array" ref="P31">IF(Cdlac[[#This Row],[Quantity]]&gt;0,INDEX(TcacRents,$P$18,Cdlac[[#This Row],[Bedrooms]]+1)*Cdlac[[#This Row],[AMI]],"")</f>
        <v>1048</v>
      </c>
      <c r="Q31" s="1101" cm="1">
        <f t="array" ref="Q31">IF(Cdlac[[#This Row],[Quantity]]&gt;0,INDEX(HudFmrs,$P$18,Cdlac[[#This Row],[Bedrooms]]+1),"")</f>
        <v>1751</v>
      </c>
      <c r="R31" s="1101">
        <f>IF(Cdlac[[#This Row],[Quantity]]&gt;0,MAX(0,Cdlac[[#This Row],[Fair Market Rent]]-Cdlac[[#This Row],[Restricted Rent]]),"")</f>
        <v>703</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7</v>
      </c>
      <c r="N32" s="1109">
        <f>Application!AC730</f>
        <v>0.5</v>
      </c>
      <c r="O32" s="1109">
        <f>IF(Cdlac[[#This Row],[Quantity]]&gt;0,IF(Cdlac[[#This Row],[Federal]],30%,IF($G$36,40%,Cdlac[[#This Row],[iAMI]])),"")</f>
        <v>0.3</v>
      </c>
      <c r="P32" s="1101" cm="1">
        <f t="array" ref="P32">IF(Cdlac[[#This Row],[Quantity]]&gt;0,INDEX(TcacRents,$P$18,Cdlac[[#This Row],[Bedrooms]]+1)*Cdlac[[#This Row],[AMI]],"")</f>
        <v>628.79999999999995</v>
      </c>
      <c r="Q32" s="1101" cm="1">
        <f t="array" ref="Q32">IF(Cdlac[[#This Row],[Quantity]]&gt;0,INDEX(HudFmrs,$P$18,Cdlac[[#This Row],[Bedrooms]]+1),"")</f>
        <v>1751</v>
      </c>
      <c r="R32" s="1101">
        <f>IF(Cdlac[[#This Row],[Quantity]]&gt;0,MAX(0,Cdlac[[#This Row],[Fair Market Rent]]-Cdlac[[#This Row],[Restricted Rent]]),"")</f>
        <v>1122.2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10</v>
      </c>
      <c r="N33" s="1109">
        <f>Application!AC731</f>
        <v>0.5</v>
      </c>
      <c r="O33" s="1109">
        <f>IF(Cdlac[[#This Row],[Quantity]]&gt;0,IF(Cdlac[[#This Row],[Federal]],30%,IF($G$36,40%,Cdlac[[#This Row],[iAMI]])),"")</f>
        <v>0.3</v>
      </c>
      <c r="P33" s="1101" cm="1">
        <f t="array" ref="P33">IF(Cdlac[[#This Row],[Quantity]]&gt;0,INDEX(TcacRents,$P$18,Cdlac[[#This Row],[Bedrooms]]+1)*Cdlac[[#This Row],[AMI]],"")</f>
        <v>726.6</v>
      </c>
      <c r="Q33" s="1101" cm="1">
        <f t="array" ref="Q33">IF(Cdlac[[#This Row],[Quantity]]&gt;0,INDEX(HudFmrs,$P$18,Cdlac[[#This Row],[Bedrooms]]+1),"")</f>
        <v>2376</v>
      </c>
      <c r="R33" s="1101">
        <f>IF(Cdlac[[#This Row],[Quantity]]&gt;0,MAX(0,Cdlac[[#This Row],[Fair Market Rent]]-Cdlac[[#This Row],[Restricted Rent]]),"")</f>
        <v>1649.4</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f>IFERROR(MIN(4,MATCH(Application!B732,UnitSizes,0)-1),"")</f>
        <v>4</v>
      </c>
      <c r="M34" s="1101">
        <f>Application!G732</f>
        <v>4</v>
      </c>
      <c r="N34" s="1109">
        <f>Application!AC732</f>
        <v>0.5</v>
      </c>
      <c r="O34" s="1109">
        <f>IF(Cdlac[[#This Row],[Quantity]]&gt;0,IF(Cdlac[[#This Row],[Federal]],30%,IF($G$36,40%,Cdlac[[#This Row],[iAMI]])),"")</f>
        <v>0.3</v>
      </c>
      <c r="P34" s="1101" cm="1">
        <f t="array" ref="P34">IF(Cdlac[[#This Row],[Quantity]]&gt;0,INDEX(TcacRents,$P$18,Cdlac[[#This Row],[Bedrooms]]+1)*Cdlac[[#This Row],[AMI]],"")</f>
        <v>811.19999999999993</v>
      </c>
      <c r="Q34" s="1101" cm="1">
        <f t="array" ref="Q34">IF(Cdlac[[#This Row],[Quantity]]&gt;0,INDEX(HudFmrs,$P$18,Cdlac[[#This Row],[Bedrooms]]+1),"")</f>
        <v>2922</v>
      </c>
      <c r="R34" s="1101">
        <f>IF(Cdlac[[#This Row],[Quantity]]&gt;0,MAX(0,Cdlac[[#This Row],[Fair Market Rent]]-Cdlac[[#This Row],[Restricted Rent]]),"")</f>
        <v>2110.8000000000002</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2311</v>
      </c>
      <c r="G35" s="1162" cm="1">
        <f t="array" ref="G35">SUMPRODUCT(Cdlac[Quantity],Cdlac[iAMI],IF(Cdlac[Federal],0,1))/SUMIFS(Cdlac[Quantity],Cdlac[Federal],FALSE)</f>
        <v>0.55980392156862746</v>
      </c>
      <c r="L35" s="1079">
        <f>IFERROR(MIN(4,MATCH(Application!B733,UnitSizes,0)-1),"")</f>
        <v>1</v>
      </c>
      <c r="M35" s="1101">
        <f>Application!G733</f>
        <v>17</v>
      </c>
      <c r="N35" s="1109">
        <f>Application!AC733</f>
        <v>0.6</v>
      </c>
      <c r="O35" s="1109">
        <f>IF(Cdlac[[#This Row],[Quantity]]&gt;0,IF(Cdlac[[#This Row],[Federal]],30%,IF($G$36,40%,Cdlac[[#This Row],[iAMI]])),"")</f>
        <v>0.6</v>
      </c>
      <c r="P35" s="1101" cm="1">
        <f t="array" ref="P35">IF(Cdlac[[#This Row],[Quantity]]&gt;0,INDEX(TcacRents,$P$18,Cdlac[[#This Row],[Bedrooms]]+1)*Cdlac[[#This Row],[AMI]],"")</f>
        <v>1048.8</v>
      </c>
      <c r="Q35" s="1101" cm="1">
        <f t="array" ref="Q35">IF(Cdlac[[#This Row],[Quantity]]&gt;0,INDEX(HudFmrs,$P$18,Cdlac[[#This Row],[Bedrooms]]+1),"")</f>
        <v>1398</v>
      </c>
      <c r="R35" s="1101">
        <f>IF(Cdlac[[#This Row],[Quantity]]&gt;0,MAX(0,Cdlac[[#This Row],[Fair Market Rent]]-Cdlac[[#This Row],[Restricted Rent]]),"")</f>
        <v>349.20000000000005</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2306</v>
      </c>
      <c r="G36" s="1119" t="b">
        <f>G35&lt;40%</f>
        <v>0</v>
      </c>
      <c r="L36" s="1079">
        <f>IFERROR(MIN(4,MATCH(Application!B734,UnitSizes,0)-1),"")</f>
        <v>2</v>
      </c>
      <c r="M36" s="1101">
        <f>Application!G734</f>
        <v>10</v>
      </c>
      <c r="N36" s="1109">
        <f>Application!AC734</f>
        <v>0.6</v>
      </c>
      <c r="O36" s="1109">
        <f>IF(Cdlac[[#This Row],[Quantity]]&gt;0,IF(Cdlac[[#This Row],[Federal]],30%,IF($G$36,40%,Cdlac[[#This Row],[iAMI]])),"")</f>
        <v>0.6</v>
      </c>
      <c r="P36" s="1101" cm="1">
        <f t="array" ref="P36">IF(Cdlac[[#This Row],[Quantity]]&gt;0,INDEX(TcacRents,$P$18,Cdlac[[#This Row],[Bedrooms]]+1)*Cdlac[[#This Row],[AMI]],"")</f>
        <v>1257.5999999999999</v>
      </c>
      <c r="Q36" s="1101" cm="1">
        <f t="array" ref="Q36">IF(Cdlac[[#This Row],[Quantity]]&gt;0,INDEX(HudFmrs,$P$18,Cdlac[[#This Row],[Bedrooms]]+1),"")</f>
        <v>1751</v>
      </c>
      <c r="R36" s="1101">
        <f>IF(Cdlac[[#This Row],[Quantity]]&gt;0,MAX(0,Cdlac[[#This Row],[Fair Market Rent]]-Cdlac[[#This Row],[Restricted Rent]]),"")</f>
        <v>493.40000000000009</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9</v>
      </c>
      <c r="N37" s="1109">
        <f>Application!AC735</f>
        <v>0.6</v>
      </c>
      <c r="O37" s="1109">
        <f>IF(Cdlac[[#This Row],[Quantity]]&gt;0,IF(Cdlac[[#This Row],[Federal]],30%,IF($G$36,40%,Cdlac[[#This Row],[iAMI]])),"")</f>
        <v>0.6</v>
      </c>
      <c r="P37" s="1101" cm="1">
        <f t="array" ref="P37">IF(Cdlac[[#This Row],[Quantity]]&gt;0,INDEX(TcacRents,$P$18,Cdlac[[#This Row],[Bedrooms]]+1)*Cdlac[[#This Row],[AMI]],"")</f>
        <v>1453.2</v>
      </c>
      <c r="Q37" s="1101" cm="1">
        <f t="array" ref="Q37">IF(Cdlac[[#This Row],[Quantity]]&gt;0,INDEX(HudFmrs,$P$18,Cdlac[[#This Row],[Bedrooms]]+1),"")</f>
        <v>2376</v>
      </c>
      <c r="R37" s="1101">
        <f>IF(Cdlac[[#This Row],[Quantity]]&gt;0,MAX(0,Cdlac[[#This Row],[Fair Market Rent]]-Cdlac[[#This Row],[Restricted Rent]]),"")</f>
        <v>922.8</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2247</v>
      </c>
      <c r="G38" s="1116">
        <f>SUMPRODUCT(Cdlac[Quantity],Cdlac[Delta])</f>
        <v>146067</v>
      </c>
      <c r="L38" s="1079">
        <f>IFERROR(MIN(4,MATCH(Application!B736,UnitSizes,0)-1),"")</f>
        <v>1</v>
      </c>
      <c r="M38" s="1101">
        <f>Application!G736</f>
        <v>8</v>
      </c>
      <c r="N38" s="1109">
        <f>Application!AC736</f>
        <v>0.7</v>
      </c>
      <c r="O38" s="1109">
        <f>IF(Cdlac[[#This Row],[Quantity]]&gt;0,IF(Cdlac[[#This Row],[Federal]],30%,IF($G$36,40%,Cdlac[[#This Row],[iAMI]])),"")</f>
        <v>0.7</v>
      </c>
      <c r="P38" s="1101" cm="1">
        <f t="array" ref="P38">IF(Cdlac[[#This Row],[Quantity]]&gt;0,INDEX(TcacRents,$P$18,Cdlac[[#This Row],[Bedrooms]]+1)*Cdlac[[#This Row],[AMI]],"")</f>
        <v>1223.5999999999999</v>
      </c>
      <c r="Q38" s="1101" cm="1">
        <f t="array" ref="Q38">IF(Cdlac[[#This Row],[Quantity]]&gt;0,INDEX(HudFmrs,$P$18,Cdlac[[#This Row],[Bedrooms]]+1),"")</f>
        <v>1398</v>
      </c>
      <c r="R38" s="1101">
        <f>IF(Cdlac[[#This Row],[Quantity]]&gt;0,MAX(0,Cdlac[[#This Row],[Fair Market Rent]]-Cdlac[[#This Row],[Restricted Rent]]),"")</f>
        <v>174.40000000000009</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2312</v>
      </c>
      <c r="F39" s="1155" t="s">
        <v>2300</v>
      </c>
      <c r="G39" s="1163">
        <f>12*15</f>
        <v>180</v>
      </c>
      <c r="L39" s="1079">
        <f>IFERROR(MIN(4,MATCH(Application!B737,UnitSizes,0)-1),"")</f>
        <v>2</v>
      </c>
      <c r="M39" s="1101">
        <f>Application!G737</f>
        <v>8</v>
      </c>
      <c r="N39" s="1109">
        <f>Application!AC737</f>
        <v>0.7</v>
      </c>
      <c r="O39" s="1109">
        <f>IF(Cdlac[[#This Row],[Quantity]]&gt;0,IF(Cdlac[[#This Row],[Federal]],30%,IF($G$36,40%,Cdlac[[#This Row],[iAMI]])),"")</f>
        <v>0.7</v>
      </c>
      <c r="P39" s="1101" cm="1">
        <f t="array" ref="P39">IF(Cdlac[[#This Row],[Quantity]]&gt;0,INDEX(TcacRents,$P$18,Cdlac[[#This Row],[Bedrooms]]+1)*Cdlac[[#This Row],[AMI]],"")</f>
        <v>1467.1999999999998</v>
      </c>
      <c r="Q39" s="1101" cm="1">
        <f t="array" ref="Q39">IF(Cdlac[[#This Row],[Quantity]]&gt;0,INDEX(HudFmrs,$P$18,Cdlac[[#This Row],[Bedrooms]]+1),"")</f>
        <v>1751</v>
      </c>
      <c r="R39" s="1101">
        <f>IF(Cdlac[[#This Row],[Quantity]]&gt;0,MAX(0,Cdlac[[#This Row],[Fair Market Rent]]-Cdlac[[#This Row],[Restricted Rent]]),"")</f>
        <v>283.80000000000018</v>
      </c>
      <c r="S39" s="1079">
        <f>IF(Cdlac[[#This Row],[Quantity]]&gt;0,AND(Application!AK737&lt;&gt;"N/A",Application!AK737&lt;&gt;"")*Cdlac[[#This Row],[Quantity]],"")</f>
        <v>0</v>
      </c>
      <c r="T39" s="1079" t="b">
        <f>AND('Subsidy Contract Calculation'!F23&gt;0,'Subsidy Contract Calculation'!C23="Federal",Cdlac[[#This Row],[Quantity]]&gt;0)</f>
        <v>0</v>
      </c>
    </row>
    <row r="40" spans="2:20" ht="15" customHeight="1">
      <c r="E40" s="1164" t="s">
        <v>2240</v>
      </c>
      <c r="F40" s="1081"/>
      <c r="G40" s="1165">
        <f>G38*G39</f>
        <v>26292060</v>
      </c>
      <c r="L40" s="1079">
        <f>IFERROR(MIN(4,MATCH(Application!B738,UnitSizes,0)-1),"")</f>
        <v>3</v>
      </c>
      <c r="M40" s="1101">
        <f>Application!G738</f>
        <v>5</v>
      </c>
      <c r="N40" s="1109">
        <f>Application!AC738</f>
        <v>0.7</v>
      </c>
      <c r="O40" s="1109">
        <f>IF(Cdlac[[#This Row],[Quantity]]&gt;0,IF(Cdlac[[#This Row],[Federal]],30%,IF($G$36,40%,Cdlac[[#This Row],[iAMI]])),"")</f>
        <v>0.7</v>
      </c>
      <c r="P40" s="1101" cm="1">
        <f t="array" ref="P40">IF(Cdlac[[#This Row],[Quantity]]&gt;0,INDEX(TcacRents,$P$18,Cdlac[[#This Row],[Bedrooms]]+1)*Cdlac[[#This Row],[AMI]],"")</f>
        <v>1695.3999999999999</v>
      </c>
      <c r="Q40" s="1101" cm="1">
        <f t="array" ref="Q40">IF(Cdlac[[#This Row],[Quantity]]&gt;0,INDEX(HudFmrs,$P$18,Cdlac[[#This Row],[Bedrooms]]+1),"")</f>
        <v>2376</v>
      </c>
      <c r="R40" s="1101">
        <f>IF(Cdlac[[#This Row],[Quantity]]&gt;0,MAX(0,Cdlac[[#This Row],[Fair Market Rent]]-Cdlac[[#This Row],[Restricted Rent]]),"")</f>
        <v>680.60000000000014</v>
      </c>
      <c r="S40" s="1079">
        <f>IF(Cdlac[[#This Row],[Quantity]]&gt;0,AND(Application!AK738&lt;&gt;"N/A",Application!AK738&lt;&gt;"")*Cdlac[[#This Row],[Quantity]],"")</f>
        <v>0</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85</v>
      </c>
    </row>
    <row r="46" spans="2:20" ht="15" customHeight="1">
      <c r="E46" s="1159"/>
      <c r="G46" s="1167"/>
    </row>
    <row r="47" spans="2:20" ht="15" customHeight="1">
      <c r="E47" s="1159" t="s">
        <v>2253</v>
      </c>
      <c r="G47" s="1156">
        <f>MIN(G44:G45)</f>
        <v>0</v>
      </c>
    </row>
    <row r="48" spans="2:20" ht="15" customHeight="1">
      <c r="E48" s="1159" t="s">
        <v>2243</v>
      </c>
      <c r="F48" s="1155" t="s">
        <v>2300</v>
      </c>
      <c r="G48" s="1166">
        <v>10000</v>
      </c>
    </row>
    <row r="49" spans="2:14" ht="15" customHeight="1">
      <c r="E49" s="1160" t="s">
        <v>2283</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18</v>
      </c>
    </row>
    <row r="54" spans="2:14" ht="15" customHeight="1">
      <c r="E54" s="1159" t="s">
        <v>2302</v>
      </c>
      <c r="G54" s="1117">
        <f>ROUNDDOWN(E27*50%,0)</f>
        <v>85</v>
      </c>
    </row>
    <row r="55" spans="2:14" ht="15" customHeight="1">
      <c r="E55" s="1159"/>
      <c r="G55" s="1117"/>
    </row>
    <row r="56" spans="2:14" ht="15" customHeight="1">
      <c r="E56" s="1159" t="s">
        <v>2253</v>
      </c>
      <c r="G56" s="1156">
        <f>MIN(G53:G54)</f>
        <v>18</v>
      </c>
    </row>
    <row r="57" spans="2:14" ht="15" customHeight="1">
      <c r="E57" s="1159" t="s">
        <v>2243</v>
      </c>
      <c r="F57" s="1155" t="s">
        <v>2300</v>
      </c>
      <c r="G57" s="1166">
        <v>20000</v>
      </c>
    </row>
    <row r="58" spans="2:14" ht="15" customHeight="1">
      <c r="E58" s="1160" t="s">
        <v>2282</v>
      </c>
      <c r="F58" s="1081"/>
      <c r="G58" s="1165">
        <f>G56*G57</f>
        <v>360000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4</v>
      </c>
      <c r="L62" s="1169" t="str">
        <f>'Points System'!H627</f>
        <v>(i)</v>
      </c>
      <c r="M62" s="2157" t="s">
        <v>1517</v>
      </c>
      <c r="N62" s="2158"/>
    </row>
    <row r="63" spans="2:14" ht="15" customHeight="1">
      <c r="E63" s="1124" t="s">
        <v>2243</v>
      </c>
      <c r="F63" s="1155" t="s">
        <v>2300</v>
      </c>
      <c r="G63" s="1114">
        <v>4000</v>
      </c>
      <c r="L63" s="1170" t="str">
        <f>'Points System'!H639</f>
        <v>N/A</v>
      </c>
      <c r="M63" s="2149" t="s">
        <v>2257</v>
      </c>
      <c r="N63" s="2150"/>
    </row>
    <row r="64" spans="2:14" ht="15" customHeight="1">
      <c r="E64" s="1124" t="s">
        <v>2304</v>
      </c>
      <c r="F64" s="1155" t="s">
        <v>2300</v>
      </c>
      <c r="G64" s="1168">
        <f>G27</f>
        <v>206</v>
      </c>
      <c r="L64" s="1170" t="str">
        <f>'Points System'!H674</f>
        <v>(ii)</v>
      </c>
      <c r="M64" s="2149" t="s">
        <v>2258</v>
      </c>
      <c r="N64" s="2150"/>
    </row>
    <row r="65" spans="2:14" ht="15" customHeight="1">
      <c r="E65" s="1160" t="s">
        <v>2262</v>
      </c>
      <c r="F65" s="1081"/>
      <c r="G65" s="1165">
        <f>G62*G63*G64</f>
        <v>3296000</v>
      </c>
      <c r="L65" s="1170" t="str">
        <f>IF(OR('Points System'!H698="(ii)",'Points System'!H698="(i)"),"(i)","N/A")</f>
        <v>(i)</v>
      </c>
      <c r="M65" s="2149" t="s">
        <v>2259</v>
      </c>
      <c r="N65" s="2150"/>
    </row>
    <row r="66" spans="2:14" ht="15" customHeight="1">
      <c r="C66" s="1115"/>
      <c r="G66" s="1156"/>
      <c r="L66" s="1171" t="str">
        <f>'Points System'!H712</f>
        <v>N/A</v>
      </c>
      <c r="M66" s="2149" t="s">
        <v>1543</v>
      </c>
      <c r="N66" s="2150"/>
    </row>
    <row r="67" spans="2:14" ht="15" customHeight="1">
      <c r="E67" s="1124" t="s">
        <v>2305</v>
      </c>
      <c r="G67" s="1168">
        <f>COUNTIFS(L62:L69,"(i)")</f>
        <v>4</v>
      </c>
      <c r="L67" s="1170" t="str">
        <f>'Points System'!H724</f>
        <v>N/A</v>
      </c>
      <c r="M67" s="2149" t="s">
        <v>2260</v>
      </c>
      <c r="N67" s="2150"/>
    </row>
    <row r="68" spans="2:14" ht="15" customHeight="1">
      <c r="E68" s="1124" t="s">
        <v>2243</v>
      </c>
      <c r="F68" s="1155" t="s">
        <v>2300</v>
      </c>
      <c r="G68" s="1166">
        <v>4000</v>
      </c>
      <c r="L68" s="1170" t="str">
        <f>'Points System'!H740</f>
        <v>(i)</v>
      </c>
      <c r="M68" s="2149" t="s">
        <v>2261</v>
      </c>
      <c r="N68" s="2150"/>
    </row>
    <row r="69" spans="2:14" ht="15" customHeight="1" thickBot="1">
      <c r="E69" s="1160" t="s">
        <v>2263</v>
      </c>
      <c r="F69" s="1081"/>
      <c r="G69" s="1165">
        <f>G64*G67*G68</f>
        <v>3296000</v>
      </c>
      <c r="L69" s="1172" t="str">
        <f>'Points System'!H752</f>
        <v>(i)</v>
      </c>
      <c r="M69" s="2151" t="s">
        <v>1546</v>
      </c>
      <c r="N69" s="2152"/>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2494</v>
      </c>
      <c r="G74" s="1078"/>
    </row>
    <row r="75" spans="2:14" ht="15" customHeight="1">
      <c r="C75" s="1115" t="s">
        <v>2495</v>
      </c>
      <c r="G75" s="1078"/>
    </row>
    <row r="76" spans="2:14" ht="15" customHeight="1"/>
    <row r="77" spans="2:14" ht="15" customHeight="1">
      <c r="B77" s="1116"/>
      <c r="C77" s="1115"/>
      <c r="E77" s="1124" t="s">
        <v>2307</v>
      </c>
      <c r="G77" s="1117" t="b">
        <f>COUNTIFS(G72:G75,"Yes")&gt;=1</f>
        <v>0</v>
      </c>
    </row>
    <row r="78" spans="2:14" ht="15" customHeight="1">
      <c r="E78" s="1115"/>
    </row>
    <row r="79" spans="2:14" ht="15" customHeight="1">
      <c r="E79" s="1124" t="s">
        <v>2304</v>
      </c>
      <c r="F79" s="1155" t="s">
        <v>2300</v>
      </c>
      <c r="G79" s="1156">
        <f>G27</f>
        <v>206</v>
      </c>
    </row>
    <row r="80" spans="2:14" ht="15" customHeight="1">
      <c r="E80" s="1124" t="s">
        <v>2243</v>
      </c>
      <c r="F80" s="1155" t="s">
        <v>2300</v>
      </c>
      <c r="G80" s="1166">
        <v>25000</v>
      </c>
    </row>
    <row r="81" spans="2:14" ht="15" customHeight="1">
      <c r="E81" s="1160" t="s">
        <v>2264</v>
      </c>
      <c r="F81" s="1081"/>
      <c r="G81" s="1165">
        <f>G77*G80*G64</f>
        <v>0</v>
      </c>
    </row>
    <row r="82" spans="2:14" ht="15" customHeight="1">
      <c r="C82" s="1115"/>
      <c r="E82" s="1115"/>
    </row>
    <row r="83" spans="2:14" ht="15" customHeight="1">
      <c r="E83" s="1160" t="s">
        <v>2241</v>
      </c>
      <c r="G83" s="1165">
        <f>G81+G69+G65</f>
        <v>6592000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t="s">
        <v>554</v>
      </c>
      <c r="L87" s="2153" t="s">
        <v>2270</v>
      </c>
      <c r="M87" s="2154"/>
      <c r="N87" s="1173">
        <v>30000</v>
      </c>
    </row>
    <row r="88" spans="2:14" ht="15" customHeight="1">
      <c r="C88" s="1115" t="s">
        <v>2287</v>
      </c>
      <c r="G88" s="1119" t="str">
        <f>IF(Application!D211="Large Family","Yes","No")</f>
        <v>Yes</v>
      </c>
      <c r="L88" s="2145" t="s">
        <v>2234</v>
      </c>
      <c r="M88" s="2146"/>
      <c r="N88" s="1174">
        <v>20000</v>
      </c>
    </row>
    <row r="89" spans="2:14" ht="15" customHeight="1" thickBot="1">
      <c r="C89" s="1115" t="s">
        <v>2268</v>
      </c>
      <c r="G89" s="1078"/>
      <c r="L89" s="2147" t="s">
        <v>2271</v>
      </c>
      <c r="M89" s="2148"/>
      <c r="N89" s="1175">
        <v>10000</v>
      </c>
    </row>
    <row r="90" spans="2:14" ht="15" customHeight="1">
      <c r="C90" s="1115" t="s">
        <v>2269</v>
      </c>
      <c r="G90" s="1079" t="str">
        <f>Application!T193</f>
        <v>Highest Resource</v>
      </c>
    </row>
    <row r="91" spans="2:14" ht="15" customHeight="1">
      <c r="C91" s="1115"/>
    </row>
    <row r="92" spans="2:14" ht="15" customHeight="1">
      <c r="E92" s="1124" t="s">
        <v>2307</v>
      </c>
      <c r="G92" s="1117" t="b">
        <f>AND(COUNTIFS(G88:G89,"Yes")&gt;=1,G87="Yes")</f>
        <v>1</v>
      </c>
    </row>
    <row r="93" spans="2:14" ht="15" customHeight="1">
      <c r="E93" s="1124"/>
      <c r="G93" s="1117"/>
    </row>
    <row r="94" spans="2:14" ht="15" customHeight="1">
      <c r="E94" s="1124" t="s">
        <v>2243</v>
      </c>
      <c r="G94" s="1116">
        <f>IFERROR(INDEX(N87:N89,MATCH(LEFT(G90,17),L87:L89,0)),0)</f>
        <v>30000</v>
      </c>
    </row>
    <row r="95" spans="2:14" ht="15" customHeight="1">
      <c r="E95" s="1124" t="str">
        <f>E64</f>
        <v>Bedroom-Adjusted Low-Income Units</v>
      </c>
      <c r="F95" s="1155" t="s">
        <v>2300</v>
      </c>
      <c r="G95" s="1156">
        <f>G27</f>
        <v>206</v>
      </c>
    </row>
    <row r="96" spans="2:14" ht="15" customHeight="1">
      <c r="D96" s="1081"/>
      <c r="E96" s="1160" t="s">
        <v>2242</v>
      </c>
      <c r="F96" s="1081"/>
      <c r="G96" s="1165">
        <f>G95*G94*G92</f>
        <v>6180000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t="s">
        <v>554</v>
      </c>
    </row>
    <row r="101" spans="2:9" ht="15" customHeight="1">
      <c r="F101" s="1158"/>
    </row>
    <row r="102" spans="2:9" ht="15" customHeight="1">
      <c r="E102" s="1124" t="s">
        <v>2307</v>
      </c>
      <c r="G102" s="1117" t="b">
        <f>G100="Yes"</f>
        <v>1</v>
      </c>
    </row>
    <row r="103" spans="2:9" ht="15" customHeight="1"/>
    <row r="104" spans="2:9" ht="15" customHeight="1">
      <c r="E104" s="1124" t="str">
        <f>E64</f>
        <v>Bedroom-Adjusted Low-Income Units</v>
      </c>
      <c r="G104" s="1156">
        <f>G27</f>
        <v>206</v>
      </c>
    </row>
    <row r="105" spans="2:9" ht="15" customHeight="1">
      <c r="E105" s="1124" t="s">
        <v>2243</v>
      </c>
      <c r="F105" s="1155" t="s">
        <v>2300</v>
      </c>
      <c r="G105" s="1085">
        <v>20000</v>
      </c>
    </row>
    <row r="106" spans="2:9" ht="15" customHeight="1">
      <c r="E106" s="1160" t="s">
        <v>2272</v>
      </c>
      <c r="F106" s="1081"/>
      <c r="G106" s="1165">
        <f>G102*G105*G104</f>
        <v>4120000</v>
      </c>
    </row>
    <row r="107" spans="2:9" ht="15" customHeight="1"/>
    <row r="108" spans="2:9" ht="15" customHeight="1">
      <c r="B108" s="1104" t="s">
        <v>2309</v>
      </c>
      <c r="C108" s="1105"/>
      <c r="D108" s="1105"/>
      <c r="E108" s="1105"/>
      <c r="F108" s="1105"/>
      <c r="G108" s="1105"/>
      <c r="H108" s="1105"/>
      <c r="I108" s="1106"/>
    </row>
    <row r="109" spans="2:9" ht="15" customHeight="1"/>
    <row r="110" spans="2:9" ht="15" customHeight="1">
      <c r="E110" s="1124" t="s">
        <v>591</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2308</v>
      </c>
      <c r="G113" s="1116">
        <f>MEDIAN((Application!BR806:BR863))</f>
        <v>489600</v>
      </c>
    </row>
    <row r="114" spans="4:9" ht="15" customHeight="1">
      <c r="D114" s="1081"/>
      <c r="E114" s="1160" t="s">
        <v>2310</v>
      </c>
      <c r="F114" s="1176"/>
      <c r="G114" s="1177">
        <f>((G112-G113)/G113)*0.25</f>
        <v>-2.6552287581699346E-2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Tung Tran</cp:lastModifiedBy>
  <cp:lastPrinted>2024-04-21T13:50:23Z</cp:lastPrinted>
  <dcterms:created xsi:type="dcterms:W3CDTF">2007-12-27T18:26:28Z</dcterms:created>
  <dcterms:modified xsi:type="dcterms:W3CDTF">2024-04-23T21:14:41Z</dcterms:modified>
</cp:coreProperties>
</file>