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showInkAnnotation="0" codeName="ThisWorkbook" defaultThemeVersion="124226"/>
  <mc:AlternateContent xmlns:mc="http://schemas.openxmlformats.org/markup-compatibility/2006">
    <mc:Choice Requires="x15">
      <x15ac:absPath xmlns:x15ac="http://schemas.microsoft.com/office/spreadsheetml/2010/11/ac" url="/Users/chadhorsford/CHPC Dropbox/CHPC CLIENTS/Butterfly's Haven/Treehouse Crenshaw/TCAC (or Joint TCAC:CDLAC)/Joint TCAC:CDLAC Application/"/>
    </mc:Choice>
  </mc:AlternateContent>
  <xr:revisionPtr revIDLastSave="0" documentId="13_ncr:1_{5973B849-7599-FA47-A160-09273D6B7F57}" xr6:coauthVersionLast="47" xr6:coauthVersionMax="47" xr10:uidLastSave="{00000000-0000-0000-0000-000000000000}"/>
  <bookViews>
    <workbookView xWindow="-38200" yWindow="140" windowWidth="38200" windowHeight="20160" firstSheet="2"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27" i="3" l="1"/>
  <c r="AB50" i="15"/>
  <c r="B125" i="4"/>
  <c r="C69" i="4"/>
  <c r="AO640" i="3"/>
  <c r="AM560" i="3"/>
  <c r="AC245" i="3"/>
  <c r="M245" i="3"/>
  <c r="Z647" i="3"/>
  <c r="AA648" i="3"/>
  <c r="G647" i="3"/>
  <c r="Z646" i="3"/>
  <c r="Z645" i="3"/>
  <c r="Z644" i="3"/>
  <c r="G646" i="3"/>
  <c r="G645" i="3"/>
  <c r="G644" i="3"/>
  <c r="Z581" i="3"/>
  <c r="Z580" i="3"/>
  <c r="Z579" i="3"/>
  <c r="Z578" i="3"/>
  <c r="AA582" i="3"/>
  <c r="G581" i="3"/>
  <c r="G580" i="3"/>
  <c r="G579" i="3"/>
  <c r="G578" i="3"/>
  <c r="B189" i="20" l="1"/>
  <c r="B188" i="20"/>
  <c r="C103" i="13"/>
  <c r="C102" i="13"/>
  <c r="C101" i="13"/>
  <c r="C100" i="13"/>
  <c r="C99" i="13"/>
  <c r="C95" i="13"/>
  <c r="C94" i="13"/>
  <c r="C93" i="13"/>
  <c r="C92" i="13"/>
  <c r="C90" i="13"/>
  <c r="C89" i="13"/>
  <c r="C88" i="13"/>
  <c r="C87" i="13"/>
  <c r="C86" i="13"/>
  <c r="C85" i="13"/>
  <c r="C84" i="13"/>
  <c r="C83" i="13"/>
  <c r="C80" i="13"/>
  <c r="C79" i="13"/>
  <c r="C76" i="13"/>
  <c r="C75" i="13"/>
  <c r="C74" i="13"/>
  <c r="C73" i="13"/>
  <c r="C72" i="13"/>
  <c r="C68" i="13"/>
  <c r="C67"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15" i="13"/>
  <c r="C14" i="13"/>
  <c r="C13" i="13"/>
  <c r="C10" i="13"/>
  <c r="C9" i="13"/>
  <c r="C7" i="13"/>
  <c r="C6" i="13"/>
  <c r="C5" i="13"/>
  <c r="C4" i="13"/>
  <c r="S94" i="4"/>
  <c r="S43" i="4"/>
  <c r="S45" i="4"/>
  <c r="S95" i="4"/>
  <c r="S13" i="4"/>
  <c r="S53" i="4"/>
  <c r="S49" i="4"/>
  <c r="S65" i="4"/>
  <c r="S47" i="4"/>
  <c r="S99" i="4"/>
  <c r="S93" i="4"/>
  <c r="S92" i="4"/>
  <c r="S89" i="4"/>
  <c r="S87" i="4"/>
  <c r="S86" i="4"/>
  <c r="S85" i="4"/>
  <c r="S84" i="4"/>
  <c r="S80" i="4"/>
  <c r="S79" i="4"/>
  <c r="S68" i="4"/>
  <c r="S67" i="4"/>
  <c r="S52" i="4"/>
  <c r="S51" i="4"/>
  <c r="S50" i="4"/>
  <c r="S48" i="4"/>
  <c r="S41" i="4"/>
  <c r="S40" i="4"/>
  <c r="S37" i="4"/>
  <c r="S36" i="4"/>
  <c r="S35" i="4"/>
  <c r="S34" i="4"/>
  <c r="S33" i="4"/>
  <c r="S32" i="4"/>
  <c r="S31" i="4"/>
  <c r="S30" i="4"/>
  <c r="S29" i="4"/>
  <c r="S10" i="4"/>
  <c r="E13" i="4"/>
  <c r="E95" i="4"/>
  <c r="E94" i="4"/>
  <c r="E93" i="4"/>
  <c r="E92" i="4"/>
  <c r="E90" i="4"/>
  <c r="E89" i="4"/>
  <c r="E88" i="4"/>
  <c r="E87" i="4"/>
  <c r="E86" i="4"/>
  <c r="E85" i="4"/>
  <c r="E84" i="4"/>
  <c r="E83" i="4"/>
  <c r="E80" i="4"/>
  <c r="E79" i="4"/>
  <c r="E76" i="4"/>
  <c r="E75" i="4"/>
  <c r="E74" i="4"/>
  <c r="E73" i="4"/>
  <c r="E72" i="4"/>
  <c r="E68" i="4"/>
  <c r="E67"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0" i="4"/>
  <c r="E4" i="4"/>
  <c r="E5" i="4"/>
  <c r="E99" i="4"/>
  <c r="C95" i="4"/>
  <c r="C94" i="4"/>
  <c r="C53" i="4"/>
  <c r="C65" i="4"/>
  <c r="C47" i="4"/>
  <c r="C49" i="4"/>
  <c r="C45" i="4"/>
  <c r="C13" i="4"/>
  <c r="C86" i="4"/>
  <c r="C84" i="4"/>
  <c r="C93" i="4"/>
  <c r="C43" i="4"/>
  <c r="C35" i="4"/>
  <c r="C33" i="4"/>
  <c r="C32" i="4"/>
  <c r="C30" i="4"/>
  <c r="AA946" i="3"/>
  <c r="I946" i="3"/>
  <c r="AA918" i="3"/>
  <c r="AA917" i="3"/>
  <c r="T627" i="3"/>
  <c r="Q627" i="3"/>
  <c r="AO630" i="3"/>
  <c r="AO628" i="3"/>
  <c r="C630" i="3"/>
  <c r="C628" i="3"/>
  <c r="AG448" i="3"/>
  <c r="AG446" i="3"/>
  <c r="AG443" i="3" l="1"/>
  <c r="AG442" i="3"/>
  <c r="H309" i="3" l="1"/>
  <c r="P307" i="3"/>
  <c r="H307" i="3"/>
  <c r="H306" i="3"/>
  <c r="H305" i="3"/>
  <c r="H304" i="3"/>
  <c r="H303" i="3"/>
  <c r="H293" i="3"/>
  <c r="H291" i="3"/>
  <c r="H288" i="3"/>
  <c r="W859" i="3" l="1"/>
  <c r="Y829" i="3"/>
  <c r="U829" i="3"/>
  <c r="Q829" i="3"/>
  <c r="P418" i="3" l="1"/>
  <c r="M248" i="3" l="1"/>
  <c r="M247" i="3"/>
  <c r="M246" i="3"/>
  <c r="M2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G67" i="21" s="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R66" i="4"/>
  <c r="R67" i="4"/>
  <c r="R68" i="4"/>
  <c r="A104" i="11"/>
  <c r="C101" i="11"/>
  <c r="C102" i="11"/>
  <c r="C103" i="11"/>
  <c r="C104" i="11"/>
  <c r="B101" i="11"/>
  <c r="B102" i="11"/>
  <c r="B103" i="11"/>
  <c r="D103" i="11" s="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3" i="13"/>
  <c r="E100" i="13"/>
  <c r="E101" i="13"/>
  <c r="E102" i="13"/>
  <c r="E103" i="13"/>
  <c r="B100" i="13"/>
  <c r="B101" i="13"/>
  <c r="B102" i="13"/>
  <c r="B103" i="13"/>
  <c r="A69" i="13"/>
  <c r="H66" i="13"/>
  <c r="H67" i="13"/>
  <c r="H68" i="13"/>
  <c r="H69" i="13"/>
  <c r="E66" i="13"/>
  <c r="E67" i="13"/>
  <c r="E68" i="13"/>
  <c r="E69" i="13"/>
  <c r="B66" i="13"/>
  <c r="C66" i="13" s="1"/>
  <c r="B67" i="13"/>
  <c r="B68" i="13"/>
  <c r="B69" i="13"/>
  <c r="C69" i="13" s="1"/>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C91" i="13" s="1"/>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1" i="4"/>
  <c r="R99" i="4"/>
  <c r="R95" i="4"/>
  <c r="R94" i="4"/>
  <c r="R93" i="4"/>
  <c r="R92" i="4"/>
  <c r="R90" i="4"/>
  <c r="R89" i="4"/>
  <c r="R88" i="4"/>
  <c r="R87" i="4"/>
  <c r="R86" i="4"/>
  <c r="R85" i="4"/>
  <c r="R83" i="4"/>
  <c r="R76" i="4"/>
  <c r="R75" i="4"/>
  <c r="R72" i="4"/>
  <c r="R73" i="4"/>
  <c r="R77" i="4" s="1"/>
  <c r="R74" i="4"/>
  <c r="R69" i="4"/>
  <c r="R65" i="4"/>
  <c r="R61" i="4"/>
  <c r="R60" i="4"/>
  <c r="R59" i="4"/>
  <c r="R62" i="4" s="1"/>
  <c r="R58" i="4"/>
  <c r="R57" i="4"/>
  <c r="R56" i="4"/>
  <c r="R53" i="4"/>
  <c r="R52" i="4"/>
  <c r="R51" i="4"/>
  <c r="R50" i="4"/>
  <c r="R49" i="4"/>
  <c r="R48" i="4"/>
  <c r="R47" i="4"/>
  <c r="R54" i="4" s="1"/>
  <c r="R46" i="4"/>
  <c r="R45" i="4"/>
  <c r="R43" i="4"/>
  <c r="R41" i="4"/>
  <c r="R40" i="4"/>
  <c r="R37" i="4"/>
  <c r="R35" i="4"/>
  <c r="R34" i="4"/>
  <c r="R38" i="4" s="1"/>
  <c r="R33" i="4"/>
  <c r="R32" i="4"/>
  <c r="R31" i="4"/>
  <c r="R30" i="4"/>
  <c r="R29" i="4"/>
  <c r="R27" i="4"/>
  <c r="R25" i="4"/>
  <c r="R23" i="4"/>
  <c r="R22" i="4"/>
  <c r="R21" i="4"/>
  <c r="R20" i="4"/>
  <c r="R19" i="4"/>
  <c r="R18" i="4"/>
  <c r="R26" i="4" s="1"/>
  <c r="R17" i="4"/>
  <c r="R15" i="4"/>
  <c r="R14" i="4"/>
  <c r="R13" i="4"/>
  <c r="R9" i="4"/>
  <c r="R11" i="4"/>
  <c r="R7" i="4"/>
  <c r="R6" i="4"/>
  <c r="R5" i="4"/>
  <c r="R4" i="4"/>
  <c r="B5" i="11"/>
  <c r="C5" i="11"/>
  <c r="B6" i="11"/>
  <c r="C6" i="11"/>
  <c r="B7" i="11"/>
  <c r="C7" i="11"/>
  <c r="C8" i="11"/>
  <c r="B8" i="11"/>
  <c r="B10" i="11"/>
  <c r="B11" i="1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3" i="11"/>
  <c r="D34" i="11"/>
  <c r="B41" i="11"/>
  <c r="D41" i="11" s="1"/>
  <c r="C41" i="11"/>
  <c r="C42" i="11"/>
  <c r="B42" i="11"/>
  <c r="B44" i="11"/>
  <c r="C44" i="11"/>
  <c r="B46" i="11"/>
  <c r="C46" i="11"/>
  <c r="B47" i="11"/>
  <c r="C47" i="11"/>
  <c r="B48" i="11"/>
  <c r="D48" i="11" s="1"/>
  <c r="B49" i="11"/>
  <c r="B50" i="11"/>
  <c r="B51" i="11"/>
  <c r="D51" i="11"/>
  <c r="B52" i="11"/>
  <c r="D52" i="11" s="1"/>
  <c r="B53" i="11"/>
  <c r="C48" i="11"/>
  <c r="C49" i="11"/>
  <c r="C50" i="11"/>
  <c r="C55" i="11" s="1"/>
  <c r="C51" i="11"/>
  <c r="C52" i="11"/>
  <c r="C53" i="11"/>
  <c r="B57" i="11"/>
  <c r="C57" i="11"/>
  <c r="B58" i="11"/>
  <c r="C58" i="11"/>
  <c r="B59" i="11"/>
  <c r="C59" i="11"/>
  <c r="B60" i="11"/>
  <c r="C60" i="11"/>
  <c r="B61" i="11"/>
  <c r="C61" i="11"/>
  <c r="B62" i="11"/>
  <c r="C62" i="11"/>
  <c r="D62" i="11" s="1"/>
  <c r="B66" i="11"/>
  <c r="B71" i="11" s="1"/>
  <c r="C66" i="11"/>
  <c r="B73" i="11"/>
  <c r="C73" i="11"/>
  <c r="B74" i="11"/>
  <c r="C74" i="1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s="1"/>
  <c r="T96" i="4"/>
  <c r="H96" i="13"/>
  <c r="C11" i="4"/>
  <c r="B26" i="13"/>
  <c r="C38" i="4"/>
  <c r="B38" i="13" s="1"/>
  <c r="C54" i="4"/>
  <c r="B54" i="13" s="1"/>
  <c r="C62" i="4"/>
  <c r="B62" i="13" s="1"/>
  <c r="C77" i="4"/>
  <c r="B77" i="13" s="1"/>
  <c r="C96" i="4"/>
  <c r="B96" i="13" s="1"/>
  <c r="D8" i="4"/>
  <c r="D11" i="4"/>
  <c r="D26" i="4"/>
  <c r="D38" i="4"/>
  <c r="D42" i="4"/>
  <c r="D54" i="4"/>
  <c r="D62" i="4"/>
  <c r="D77" i="4"/>
  <c r="D9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AH730" i="3" s="1"/>
  <c r="BA680" i="3"/>
  <c r="AH731" i="3" s="1"/>
  <c r="BA681" i="3"/>
  <c r="BA682" i="3"/>
  <c r="BA683" i="3"/>
  <c r="BA684" i="3"/>
  <c r="BA685" i="3"/>
  <c r="BA686" i="3"/>
  <c r="G683" i="3"/>
  <c r="Z683" i="3"/>
  <c r="BA687" i="3"/>
  <c r="BA688" i="3"/>
  <c r="BA689" i="3"/>
  <c r="BA690" i="3"/>
  <c r="X718" i="3"/>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93" i="11"/>
  <c r="D5" i="11"/>
  <c r="D70" i="11"/>
  <c r="D80"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D102" i="11"/>
  <c r="K12" i="4"/>
  <c r="C43" i="11"/>
  <c r="C12" i="13"/>
  <c r="D63" i="4"/>
  <c r="D97" i="4"/>
  <c r="B78" i="11"/>
  <c r="D7" i="11"/>
  <c r="F63" i="4"/>
  <c r="F97" i="4" s="1"/>
  <c r="F105" i="4" s="1"/>
  <c r="J12" i="4"/>
  <c r="D22" i="11"/>
  <c r="O12" i="4"/>
  <c r="I63" i="4"/>
  <c r="I97" i="4"/>
  <c r="I105" i="4"/>
  <c r="D95" i="11"/>
  <c r="D25" i="11"/>
  <c r="B11" i="13"/>
  <c r="D12" i="4"/>
  <c r="H12" i="4"/>
  <c r="C82" i="11"/>
  <c r="B9" i="11"/>
  <c r="C39" i="11"/>
  <c r="D23" i="11"/>
  <c r="D19" i="11"/>
  <c r="D89" i="11"/>
  <c r="D73" i="11"/>
  <c r="D44" i="11"/>
  <c r="D35" i="11"/>
  <c r="D76" i="11"/>
  <c r="D31" i="11"/>
  <c r="D32" i="11"/>
  <c r="D15" i="11"/>
  <c r="D63" i="13"/>
  <c r="D97" i="13"/>
  <c r="D105" i="13"/>
  <c r="Q63" i="4"/>
  <c r="Q97" i="4"/>
  <c r="Q105" i="4"/>
  <c r="C105" i="11"/>
  <c r="D87" i="11"/>
  <c r="N63" i="4"/>
  <c r="N97" i="4"/>
  <c r="N105" i="4"/>
  <c r="N12" i="4"/>
  <c r="H63" i="4"/>
  <c r="H97" i="4" s="1"/>
  <c r="H105" i="4" s="1"/>
  <c r="F12" i="4"/>
  <c r="D60" i="11"/>
  <c r="M12" i="4"/>
  <c r="D84" i="11"/>
  <c r="D74" i="11"/>
  <c r="D59" i="11"/>
  <c r="D38" i="11"/>
  <c r="R42" i="4"/>
  <c r="P63" i="4"/>
  <c r="P97" i="4"/>
  <c r="P105" i="4"/>
  <c r="C63" i="11"/>
  <c r="B63" i="11"/>
  <c r="C9" i="11"/>
  <c r="D9" i="11" s="1"/>
  <c r="D12" i="13"/>
  <c r="D58" i="11"/>
  <c r="D24" i="11"/>
  <c r="D101" i="11"/>
  <c r="D66" i="11"/>
  <c r="D92" i="11"/>
  <c r="D75" i="11"/>
  <c r="B39" i="11"/>
  <c r="D28" i="11"/>
  <c r="D88" i="11"/>
  <c r="C78" i="11"/>
  <c r="D78" i="11" s="1"/>
  <c r="D42" i="11"/>
  <c r="D21" i="11"/>
  <c r="D16" i="11"/>
  <c r="B12" i="11"/>
  <c r="D81" i="11"/>
  <c r="D86" i="11"/>
  <c r="F63" i="13"/>
  <c r="F97" i="13"/>
  <c r="F105" i="13"/>
  <c r="F107" i="13"/>
  <c r="AD199" i="20"/>
  <c r="B42" i="4"/>
  <c r="D77" i="11"/>
  <c r="D47" i="11"/>
  <c r="C71" i="11"/>
  <c r="M63" i="4"/>
  <c r="M97" i="4"/>
  <c r="M105" i="4"/>
  <c r="G63" i="4"/>
  <c r="G97" i="4" s="1"/>
  <c r="G105" i="4" s="1"/>
  <c r="D91" i="11"/>
  <c r="J63" i="4"/>
  <c r="J97" i="4"/>
  <c r="J105" i="4"/>
  <c r="C12" i="11"/>
  <c r="K63" i="4"/>
  <c r="K97" i="4"/>
  <c r="K105" i="4"/>
  <c r="R96" i="4"/>
  <c r="D104" i="11"/>
  <c r="E12" i="4"/>
  <c r="B96" i="4"/>
  <c r="D11" i="11"/>
  <c r="C12" i="4"/>
  <c r="B12" i="13" s="1"/>
  <c r="B12" i="4"/>
  <c r="B13" i="11"/>
  <c r="D12" i="11"/>
  <c r="D96" i="11"/>
  <c r="T63" i="4" l="1"/>
  <c r="C97" i="13"/>
  <c r="C105" i="13" s="1"/>
  <c r="S63" i="4"/>
  <c r="S97" i="4" s="1"/>
  <c r="E97" i="13" s="1"/>
  <c r="E63" i="4"/>
  <c r="E97" i="4" s="1"/>
  <c r="R8" i="4"/>
  <c r="R12" i="4" s="1"/>
  <c r="B97" i="11"/>
  <c r="D63" i="11"/>
  <c r="D71" i="11"/>
  <c r="D50" i="11"/>
  <c r="D90" i="11"/>
  <c r="B62" i="4"/>
  <c r="B55" i="11"/>
  <c r="B64" i="11" s="1"/>
  <c r="D82" i="11"/>
  <c r="D53" i="11"/>
  <c r="B54" i="4"/>
  <c r="N193" i="27"/>
  <c r="N186" i="27"/>
  <c r="C97" i="11"/>
  <c r="B43" i="11"/>
  <c r="D43" i="11" s="1"/>
  <c r="D30" i="11"/>
  <c r="B38" i="4"/>
  <c r="D39" i="11"/>
  <c r="C13" i="11"/>
  <c r="D13" i="11" s="1"/>
  <c r="D100" i="11"/>
  <c r="AH724" i="3"/>
  <c r="AH723" i="3"/>
  <c r="AF1013" i="3"/>
  <c r="AH721" i="3"/>
  <c r="AH718" i="3"/>
  <c r="Q30" i="21" a="1"/>
  <c r="Q30" i="21" s="1"/>
  <c r="AH732" i="3"/>
  <c r="AH729" i="3"/>
  <c r="AH728" i="3"/>
  <c r="AH727" i="3"/>
  <c r="AH725" i="3"/>
  <c r="D105"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H63" i="13" l="1"/>
  <c r="T97" i="4"/>
  <c r="H97" i="13" s="1"/>
  <c r="B98" i="11"/>
  <c r="B106" i="11" s="1"/>
  <c r="D97" i="11"/>
  <c r="S105" i="4"/>
  <c r="E63" i="13"/>
  <c r="R63" i="4"/>
  <c r="R97" i="4" s="1"/>
  <c r="D55" i="11"/>
  <c r="B63" i="4"/>
  <c r="C97" i="4"/>
  <c r="C105" i="4" s="1"/>
  <c r="S107" i="4"/>
  <c r="E105" i="13"/>
  <c r="AY1004" i="3"/>
  <c r="DX635" i="3"/>
  <c r="AJ610" i="20"/>
  <c r="AK783" i="20" s="1"/>
  <c r="T808" i="20" s="1"/>
  <c r="AF808" i="20" s="1"/>
  <c r="G62" i="21"/>
  <c r="BH702" i="3"/>
  <c r="BI702" i="3" s="1"/>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U690" i="3"/>
  <c r="BV690" i="3" s="1"/>
  <c r="BU676" i="3"/>
  <c r="BV676" i="3" s="1"/>
  <c r="BU692" i="3"/>
  <c r="BV692" i="3" s="1"/>
  <c r="BU675" i="3"/>
  <c r="BV675" i="3" s="1"/>
  <c r="BU683" i="3"/>
  <c r="BV683" i="3" s="1"/>
  <c r="BU691" i="3"/>
  <c r="BV691" i="3" s="1"/>
  <c r="BU699" i="3"/>
  <c r="BV699" i="3" s="1"/>
  <c r="BH674" i="3"/>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AG258" i="20"/>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85"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4" i="3"/>
  <c r="EH637" i="3"/>
  <c r="DR657" i="3"/>
  <c r="EM632" i="3"/>
  <c r="EM635" i="3"/>
  <c r="EM643" i="3"/>
  <c r="E6" i="7"/>
  <c r="K15" i="7"/>
  <c r="I22" i="7"/>
  <c r="I35" i="7" s="1"/>
  <c r="E27" i="21"/>
  <c r="G22" i="21"/>
  <c r="H102" i="13" l="1"/>
  <c r="T104" i="4"/>
  <c r="B97" i="13"/>
  <c r="B97" i="4"/>
  <c r="AC455" i="3"/>
  <c r="B105" i="13"/>
  <c r="E107" i="13"/>
  <c r="O29" i="21"/>
  <c r="P29" i="21" s="1" a="1"/>
  <c r="P29" i="21" s="1"/>
  <c r="R29" i="21" s="1"/>
  <c r="O33" i="21"/>
  <c r="P33" i="21" s="1" a="1"/>
  <c r="P33" i="21" s="1"/>
  <c r="R33" i="21" s="1"/>
  <c r="O32" i="21"/>
  <c r="P32" i="21" s="1" a="1"/>
  <c r="P32" i="21" s="1"/>
  <c r="R32"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04" i="13" l="1"/>
  <c r="T105" i="4"/>
  <c r="B102" i="4"/>
  <c r="D104" i="4"/>
  <c r="T11" i="15"/>
  <c r="T23" i="15" s="1"/>
  <c r="T26" i="15" s="1"/>
  <c r="T28" i="15" s="1"/>
  <c r="Y11" i="15"/>
  <c r="Y23" i="15" s="1"/>
  <c r="Y26" i="15" s="1"/>
  <c r="Y28" i="15" s="1"/>
  <c r="Y64" i="15" s="1"/>
  <c r="Y68"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T107" i="4" l="1"/>
  <c r="H105" i="13"/>
  <c r="D105" i="4"/>
  <c r="B104" i="4"/>
  <c r="E104" i="4"/>
  <c r="E105" i="4" s="1"/>
  <c r="R102" i="4"/>
  <c r="R104" i="4" s="1"/>
  <c r="R105" i="4" s="1"/>
  <c r="AJ1048" i="3"/>
  <c r="AP542" i="20" s="1"/>
  <c r="AJ1044" i="3"/>
  <c r="AP541" i="20" s="1"/>
  <c r="B1059" i="3"/>
  <c r="AJ1028" i="3"/>
  <c r="AJ1031" i="3"/>
  <c r="AP539" i="20"/>
  <c r="K4" i="7"/>
  <c r="M4" i="7" s="1"/>
  <c r="E45" i="7"/>
  <c r="E48" i="7" s="1"/>
  <c r="G45" i="7"/>
  <c r="G49" i="7"/>
  <c r="K6" i="7"/>
  <c r="I7" i="7"/>
  <c r="I11" i="7" s="1"/>
  <c r="I37" i="7" s="1"/>
  <c r="G24" i="21"/>
  <c r="F27" i="21"/>
  <c r="G27" i="21"/>
  <c r="O22" i="7"/>
  <c r="O35" i="7" s="1"/>
  <c r="Q15" i="7"/>
  <c r="O9" i="7"/>
  <c r="Q8" i="7"/>
  <c r="H107" i="13" l="1"/>
  <c r="AC456" i="3"/>
  <c r="AF540" i="20"/>
  <c r="B105" i="4"/>
  <c r="AB255" i="20" s="1"/>
  <c r="AG257" i="20" s="1"/>
  <c r="AG259" i="20" s="1"/>
  <c r="AK262" i="20" s="1"/>
  <c r="T801" i="20" s="1"/>
  <c r="AF801" i="20" s="1"/>
  <c r="AP543" i="20"/>
  <c r="AZ846" i="3"/>
  <c r="AZ843" i="3"/>
  <c r="AJ1035" i="3"/>
  <c r="AJ1052" i="3" s="1"/>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D11" i="15" l="1"/>
  <c r="AD23" i="15" s="1"/>
  <c r="AD26" i="15" s="1"/>
  <c r="AD28" i="15" s="1"/>
  <c r="AI11" i="15"/>
  <c r="AI23" i="15" s="1"/>
  <c r="AI26" i="15" s="1"/>
  <c r="AI28" i="15" s="1"/>
  <c r="AC454" i="3"/>
  <c r="F457" i="3" s="1"/>
  <c r="N183" i="27"/>
  <c r="AB47" i="15"/>
  <c r="AB49" i="15" s="1"/>
  <c r="AB54" i="15" s="1"/>
  <c r="AB55" i="15" s="1"/>
  <c r="AZ851" i="3"/>
  <c r="I14" i="21"/>
  <c r="AP546" i="20"/>
  <c r="AP545" i="20" s="1"/>
  <c r="AP548" i="20" s="1"/>
  <c r="AF541" i="20" s="1"/>
  <c r="AF542" i="20" s="1"/>
  <c r="AK548" i="20" s="1"/>
  <c r="T807" i="20" s="1"/>
  <c r="AF807"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9" i="15" l="1"/>
  <c r="AD38" i="15"/>
  <c r="AD40" i="15" s="1"/>
  <c r="Y38" i="15"/>
  <c r="Y40" i="15" s="1"/>
  <c r="N184" i="27"/>
  <c r="N194" i="2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41" i="15" l="1"/>
  <c r="AB56" i="15" s="1"/>
  <c r="M26" i="3" s="1"/>
  <c r="P204" i="3" s="1"/>
  <c r="U4" i="7"/>
  <c r="S5" i="7"/>
  <c r="M48" i="7"/>
  <c r="M47" i="7"/>
  <c r="M60" i="7"/>
  <c r="O45" i="7"/>
  <c r="O49" i="7"/>
  <c r="K66" i="7"/>
  <c r="K67" i="7"/>
  <c r="K62" i="7"/>
  <c r="Q7" i="7"/>
  <c r="Q11" i="7" s="1"/>
  <c r="Q37" i="7" s="1"/>
  <c r="S6" i="7"/>
  <c r="I70" i="7"/>
  <c r="I72" i="7" s="1"/>
  <c r="W22" i="7"/>
  <c r="W35" i="7" s="1"/>
  <c r="Y15" i="7"/>
  <c r="W9" i="7"/>
  <c r="Y8" i="7"/>
  <c r="AB57" i="15" l="1"/>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<sst xmlns="http://schemas.openxmlformats.org/spreadsheetml/2006/main" count="5232" uniqueCount="2744">
  <si>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</si>
  <si>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</si>
  <si>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</si>
  <si>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</si>
  <si>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</si>
  <si>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</si>
  <si>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</si>
  <si>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</si>
  <si>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</si>
  <si>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</si>
  <si>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</si>
  <si>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</si>
  <si>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</si>
  <si>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</si>
  <si>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</si>
  <si>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</si>
  <si>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</si>
  <si>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</si>
  <si>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</si>
  <si>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</si>
  <si>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</si>
  <si>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</si>
  <si>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</si>
  <si>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</si>
  <si>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</si>
  <si>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</si>
  <si>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</si>
  <si>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</si>
  <si>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</si>
  <si>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</si>
  <si>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</si>
  <si>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</si>
  <si>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</si>
  <si>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</si>
  <si>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</si>
  <si>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</si>
  <si>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</si>
  <si>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</si>
  <si>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</si>
  <si>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</si>
  <si>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</si>
  <si>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</si>
  <si>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</si>
  <si>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</si>
  <si>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</si>
  <si>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</si>
  <si>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</si>
  <si>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</si>
  <si>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</si>
  <si>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</si>
  <si>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</si>
  <si>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</si>
  <si>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</si>
  <si>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</si>
  <si>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</si>
  <si>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</si>
  <si>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</si>
  <si>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</si>
  <si>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</si>
  <si>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</si>
  <si>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</si>
  <si>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</si>
  <si>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</si>
  <si>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</si>
  <si>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</si>
  <si>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</si>
  <si>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</si>
  <si>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</si>
  <si>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</si>
  <si>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</si>
  <si>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</si>
  <si>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</si>
  <si>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</si>
  <si>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</si>
  <si>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</si>
  <si>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</si>
  <si>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</si>
  <si>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</si>
  <si>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</si>
  <si>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</si>
  <si>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</si>
  <si>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</si>
  <si>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</si>
  <si>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</si>
  <si>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</si>
  <si>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</si>
  <si>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</si>
  <si>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</si>
  <si>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</si>
  <si>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</si>
  <si>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</si>
  <si>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</si>
  <si>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</si>
  <si>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</si>
  <si>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</si>
  <si>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</si>
  <si>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</si>
  <si>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</si>
  <si>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</si>
  <si>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</si>
  <si>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</si>
  <si>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</si>
  <si>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</si>
  <si>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</si>
  <si>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</si>
  <si>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</si>
  <si>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</si>
  <si>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</si>
  <si>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</si>
  <si>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</si>
  <si>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</si>
  <si>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</si>
  <si>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</si>
  <si>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</si>
  <si>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</si>
  <si>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</si>
  <si>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</si>
  <si>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</si>
  <si>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</si>
  <si>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</si>
  <si>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</si>
  <si>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</si>
  <si>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</si>
  <si>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</si>
  <si>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</si>
  <si>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</si>
  <si>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</si>
  <si>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</si>
  <si>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</si>
  <si>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</si>
  <si>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</si>
  <si>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</si>
  <si>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</si>
  <si>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</si>
  <si>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</si>
  <si>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</si>
  <si>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</si>
  <si>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</si>
  <si>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</si>
  <si>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</si>
  <si>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</si>
  <si>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</si>
  <si>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</si>
  <si>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</si>
  <si>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</si>
  <si>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</si>
  <si>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</si>
  <si>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</si>
  <si>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</si>
  <si>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</si>
  <si>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</si>
  <si>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</si>
  <si>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</si>
  <si>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</si>
  <si>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</si>
  <si>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</si>
  <si>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</si>
  <si>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</si>
  <si>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</si>
  <si>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</si>
  <si>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</si>
  <si>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</si>
  <si>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</si>
  <si>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</si>
  <si>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</si>
  <si>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</si>
  <si>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</si>
  <si>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</si>
  <si>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</si>
  <si>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</si>
  <si>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</si>
  <si>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</si>
  <si>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</si>
  <si>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</si>
  <si>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</si>
  <si>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</si>
  <si>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</si>
  <si>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</si>
  <si>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</si>
  <si>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</si>
  <si>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</si>
  <si>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</si>
  <si>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</si>
  <si>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</si>
  <si>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</si>
  <si>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</si>
  <si>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</si>
  <si>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</si>
  <si>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</si>
  <si>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</si>
  <si>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</si>
  <si>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</si>
  <si>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</si>
  <si>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</si>
  <si>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</si>
  <si>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</si>
  <si>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</si>
  <si>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</si>
  <si>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</si>
  <si>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</si>
  <si>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</si>
  <si>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</si>
  <si>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</si>
  <si>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</si>
  <si>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</si>
  <si>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</si>
  <si>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</si>
  <si>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</si>
  <si>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</si>
  <si>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</si>
  <si>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</si>
  <si>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</si>
  <si>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</si>
  <si>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</si>
  <si>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</si>
  <si>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</si>
  <si>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</si>
  <si>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</si>
  <si>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</si>
  <si>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</si>
  <si>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</si>
  <si>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</si>
  <si>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</si>
  <si>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</si>
  <si>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</si>
  <si>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</si>
  <si>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</si>
  <si>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</si>
  <si>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</si>
  <si>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</si>
  <si>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</si>
  <si>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</si>
  <si>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</si>
  <si>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</si>
  <si>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</si>
  <si>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</si>
  <si>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</si>
  <si>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</si>
  <si>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</si>
  <si>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</si>
  <si>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</si>
  <si>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</si>
  <si>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</si>
  <si>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</si>
  <si>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</si>
  <si>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</si>
  <si>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</si>
  <si>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</si>
  <si>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</si>
  <si>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</si>
  <si>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</si>
  <si>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</si>
  <si>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</si>
  <si>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</si>
  <si>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</si>
  <si>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</si>
  <si>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</si>
  <si>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</si>
  <si>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</si>
  <si>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</si>
  <si>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</si>
  <si>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</si>
  <si>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</si>
  <si>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</si>
  <si>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</si>
  <si>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</si>
  <si>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</si>
  <si>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</si>
  <si>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</si>
  <si>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</si>
  <si>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</si>
  <si>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</si>
  <si>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</si>
  <si>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</si>
  <si>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</si>
  <si>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</si>
  <si>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</si>
  <si>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</si>
  <si>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</si>
  <si>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</si>
  <si>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</si>
  <si>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</si>
  <si>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</si>
  <si>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</si>
  <si>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</si>
  <si>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</si>
  <si>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</si>
  <si>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</si>
  <si>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</si>
  <si>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</si>
  <si>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</si>
  <si>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</si>
  <si>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</si>
  <si>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</si>
  <si>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</si>
  <si>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</si>
  <si>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</si>
  <si>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</si>
  <si>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</si>
  <si>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</si>
  <si>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</si>
  <si>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</si>
  <si>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</si>
  <si>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</si>
  <si>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</si>
  <si>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</si>
  <si>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</si>
  <si>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</si>
  <si>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</si>
  <si>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</si>
  <si>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</si>
  <si>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</si>
  <si>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</si>
  <si>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</si>
  <si>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</si>
  <si>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</si>
  <si>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</si>
  <si>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</si>
  <si>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</si>
  <si>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</si>
  <si>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</si>
  <si>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</si>
  <si>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</si>
  <si>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</si>
  <si>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</si>
  <si>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</si>
  <si>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</si>
  <si>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</si>
  <si>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</si>
  <si>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</si>
  <si>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</si>
  <si>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</si>
  <si>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</si>
  <si>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</si>
  <si>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</si>
  <si>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</si>
  <si>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</si>
  <si>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</si>
  <si>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</si>
  <si>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</si>
  <si>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</si>
  <si>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</si>
  <si>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</si>
  <si>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</si>
  <si>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</si>
  <si>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</si>
  <si>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</si>
  <si>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</si>
  <si>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</si>
  <si>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</si>
  <si>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</si>
  <si>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</si>
  <si>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</si>
  <si>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</si>
  <si>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</si>
  <si>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</si>
  <si>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</si>
  <si>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</si>
  <si>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</si>
  <si>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</si>
  <si>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</si>
  <si>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</si>
  <si>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</si>
  <si>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</si>
  <si>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</si>
  <si>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</si>
  <si>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</si>
  <si>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</si>
  <si>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</si>
  <si>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</si>
  <si>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</si>
  <si>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</si>
  <si>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</si>
  <si>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</si>
  <si>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</si>
  <si>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</si>
  <si>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</si>
  <si>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</si>
  <si>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</si>
  <si>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</si>
  <si>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</si>
  <si>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</si>
  <si>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</si>
  <si>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</si>
  <si>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</si>
  <si>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</si>
  <si>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</si>
  <si>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</si>
  <si>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</si>
  <si>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</si>
  <si>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</si>
  <si>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</si>
  <si>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</si>
  <si>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</si>
  <si>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</si>
  <si>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</si>
  <si>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</si>
  <si>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</si>
  <si>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</si>
  <si>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</si>
  <si>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</si>
  <si>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</si>
  <si>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</si>
  <si>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</si>
  <si>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</si>
  <si>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</si>
  <si>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</si>
  <si>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</si>
  <si>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</si>
  <si>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</si>
  <si>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</si>
  <si>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</si>
  <si>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</si>
  <si>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</si>
  <si>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</si>
  <si>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</si>
  <si>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</si>
  <si>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</si>
  <si>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</si>
  <si>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</si>
  <si>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</si>
  <si>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</si>
  <si>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</si>
  <si>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</si>
  <si>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</si>
  <si>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</si>
  <si>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</si>
  <si>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</si>
  <si>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</si>
  <si>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</si>
  <si>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</si>
  <si>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</si>
  <si>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</si>
  <si>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</si>
  <si>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</si>
  <si>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</si>
  <si>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</si>
  <si>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</si>
  <si>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</si>
  <si>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</si>
  <si>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</si>
  <si>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</si>
  <si>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</si>
  <si>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</si>
  <si>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</si>
  <si>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</si>
  <si>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</si>
  <si>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</si>
  <si>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</si>
  <si>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</si>
  <si>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</si>
  <si>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</si>
  <si>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</si>
  <si>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</si>
  <si>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</si>
  <si>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</si>
  <si>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</si>
  <si>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</si>
  <si>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</si>
  <si>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</si>
  <si>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</si>
  <si>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</si>
  <si>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</si>
  <si>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</si>
  <si>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</si>
  <si>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</si>
  <si>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</si>
  <si>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</si>
  <si>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</si>
  <si>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</si>
  <si>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</si>
  <si>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</si>
  <si>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</si>
  <si>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</si>
  <si>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</si>
  <si>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</si>
  <si>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</si>
  <si>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</si>
  <si>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</si>
  <si>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</si>
  <si>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</si>
  <si>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</si>
  <si>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</si>
  <si>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</si>
  <si>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</si>
  <si>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</si>
  <si>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</si>
  <si>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</si>
  <si>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</si>
  <si>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</si>
  <si>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</si>
  <si>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</si>
  <si>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</si>
  <si>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</si>
  <si>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</si>
  <si>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</si>
  <si>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</si>
  <si>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</si>
  <si>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</si>
  <si>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</si>
  <si>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</si>
  <si>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</si>
  <si>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</si>
  <si>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</si>
  <si>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</si>
  <si>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</si>
  <si>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</si>
  <si>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</si>
  <si>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</si>
  <si>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</si>
  <si>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</si>
  <si>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</si>
  <si>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</si>
  <si>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</si>
  <si>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</si>
  <si>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</si>
  <si>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</si>
  <si>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</si>
  <si>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</si>
  <si>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</si>
  <si>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</si>
  <si>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</si>
  <si>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</si>
  <si>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</si>
  <si>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</si>
  <si>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</si>
  <si>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</si>
  <si>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</si>
  <si>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</si>
  <si>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</si>
  <si>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</si>
  <si>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</si>
  <si>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</si>
  <si>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</si>
  <si>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</si>
  <si>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</si>
  <si>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</si>
  <si>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</si>
  <si>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</si>
  <si>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</si>
  <si>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</si>
  <si>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</si>
  <si>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</si>
  <si>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</si>
  <si>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</si>
  <si>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</si>
  <si>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</si>
  <si>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</si>
  <si>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</si>
  <si>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</si>
  <si>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</si>
  <si>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</si>
  <si>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</si>
  <si>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</si>
  <si>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</si>
  <si>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</si>
  <si>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</si>
  <si>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</si>
  <si>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</si>
  <si>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</si>
  <si>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</si>
  <si>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</si>
  <si>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</si>
  <si>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</si>
  <si>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</si>
  <si>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</si>
  <si>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</si>
  <si>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</si>
  <si>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</si>
  <si>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</si>
  <si>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</si>
  <si>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</si>
  <si>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</si>
  <si>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</si>
  <si>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</si>
  <si>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</si>
  <si>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</si>
  <si>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</si>
  <si>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</si>
  <si>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</si>
  <si>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</si>
  <si>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</si>
  <si>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</si>
  <si>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</si>
  <si>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</si>
  <si>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</si>
  <si>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</si>
  <si>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</si>
  <si>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</si>
  <si>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</si>
  <si>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</si>
  <si>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</si>
  <si>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</si>
  <si>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</si>
  <si>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</si>
  <si>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</si>
  <si>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</si>
  <si>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</si>
  <si>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</si>
  <si>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</si>
  <si>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</si>
  <si>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</si>
  <si>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</si>
  <si>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</si>
  <si>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</si>
  <si>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</si>
  <si>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</si>
  <si>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</si>
  <si>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</si>
  <si>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</si>
  <si>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</si>
  <si>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</si>
  <si>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</si>
  <si>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</si>
  <si>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</si>
  <si>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</si>
  <si>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</si>
  <si>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</si>
  <si>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</si>
  <si>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</si>
  <si>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</si>
  <si>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</si>
  <si>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</si>
  <si>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</si>
  <si>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</si>
  <si>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</si>
  <si>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</si>
  <si>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</si>
  <si>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</si>
  <si>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</si>
  <si>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</si>
  <si>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</si>
  <si>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</si>
  <si>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</si>
  <si>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</si>
  <si>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</si>
  <si>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</si>
  <si>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</si>
  <si>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</si>
  <si>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</si>
  <si>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</si>
  <si>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</si>
  <si>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</si>
  <si>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</si>
  <si>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</si>
  <si>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</si>
  <si>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</si>
  <si>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</si>
  <si>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</si>
  <si>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</si>
  <si>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</si>
  <si>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</si>
  <si>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</si>
  <si>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</si>
  <si>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</si>
  <si>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</si>
  <si>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</si>
  <si>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</si>
  <si>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</si>
  <si>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</si>
  <si>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</si>
  <si>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</si>
  <si>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</si>
  <si>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</si>
  <si>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</si>
  <si>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</si>
  <si>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</si>
  <si>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</si>
  <si>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</si>
  <si>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</si>
  <si>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</si>
  <si>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</si>
  <si>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</si>
  <si>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</si>
  <si>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</si>
  <si>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</si>
  <si>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</si>
  <si>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</si>
  <si>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</si>
  <si>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</si>
  <si>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</si>
  <si>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</si>
  <si>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</si>
  <si>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</si>
  <si>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</si>
  <si>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</si>
  <si>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</si>
  <si>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</si>
  <si>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</si>
  <si>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</si>
  <si>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</si>
  <si>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</si>
  <si>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</si>
  <si>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</si>
  <si>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</si>
  <si>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</si>
  <si>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</si>
  <si>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</si>
  <si>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</si>
  <si>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</si>
  <si>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</si>
  <si>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</si>
  <si>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</si>
  <si>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</si>
  <si>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</si>
  <si>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</si>
  <si>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</si>
  <si>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</si>
  <si>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</si>
  <si>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</si>
  <si>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</si>
  <si>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</si>
  <si>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</si>
  <si>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</si>
  <si>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</si>
  <si>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</si>
  <si>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</si>
  <si>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</si>
  <si>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</si>
  <si>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</si>
  <si>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</si>
  <si>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</si>
  <si>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</si>
  <si>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</si>
  <si>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</si>
  <si>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</si>
  <si>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</si>
  <si>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</si>
  <si>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</si>
  <si>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</si>
  <si>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</si>
  <si>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</si>
  <si>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</si>
  <si>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</si>
  <si>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</si>
  <si>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</si>
  <si>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</si>
  <si>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</si>
  <si>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</si>
  <si>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</si>
  <si>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</si>
  <si>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</si>
  <si>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</si>
  <si>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</si>
  <si>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</si>
  <si>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</si>
  <si>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</si>
  <si>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</si>
  <si>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</si>
  <si>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</si>
  <si>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</si>
  <si>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</si>
  <si>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</si>
  <si>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</si>
  <si>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</si>
  <si>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</si>
  <si>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</si>
  <si>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</si>
  <si>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</si>
  <si>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</si>
  <si>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</si>
  <si>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</si>
  <si>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</si>
  <si>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</si>
  <si>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</si>
  <si>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</si>
  <si>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</si>
  <si>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</si>
  <si>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</si>
  <si>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</si>
  <si>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</si>
  <si>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</si>
  <si>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</si>
  <si>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</si>
  <si>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</si>
  <si>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</si>
  <si>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</si>
  <si>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</si>
  <si>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</si>
  <si>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</si>
  <si>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</si>
  <si>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</si>
  <si>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</si>
  <si>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</si>
  <si>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</si>
  <si>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</si>
  <si>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</si>
  <si>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</si>
  <si>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</si>
  <si>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</si>
  <si>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</si>
  <si>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</si>
  <si>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</si>
  <si>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</si>
  <si>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</si>
  <si>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</si>
  <si>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</si>
  <si>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</si>
  <si>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</si>
  <si>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</si>
  <si>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</si>
  <si>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</si>
  <si>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</si>
  <si>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</si>
  <si>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</si>
  <si>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</si>
  <si>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</si>
  <si>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</si>
  <si>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</si>
  <si>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</si>
  <si>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</si>
  <si>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</si>
  <si>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</si>
  <si>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</si>
  <si>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</si>
  <si>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</si>
  <si>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</si>
  <si>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</si>
  <si>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</si>
  <si>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</si>
  <si>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</si>
  <si>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</si>
  <si>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</si>
  <si>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</si>
  <si>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</si>
  <si>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</si>
  <si>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</si>
  <si>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</si>
  <si>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</si>
  <si>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</si>
  <si>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</si>
  <si>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</si>
  <si>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</si>
  <si>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</si>
  <si>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</si>
  <si>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</si>
  <si>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</si>
  <si>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</si>
  <si>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</si>
  <si>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</si>
  <si>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</si>
  <si>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</si>
  <si>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</si>
  <si>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</si>
  <si>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</si>
  <si>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</si>
  <si>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</si>
  <si>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</si>
  <si>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</si>
  <si>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</si>
  <si>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</si>
  <si>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</si>
  <si>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</si>
  <si>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</si>
  <si>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</si>
  <si>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</si>
  <si>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</si>
  <si>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</si>
  <si>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</si>
  <si>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</si>
  <si>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</si>
  <si>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</si>
  <si>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</si>
  <si>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</si>
  <si>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</si>
  <si>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</si>
  <si>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</si>
  <si>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</si>
  <si>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</si>
  <si>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</si>
  <si>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</si>
  <si>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</si>
  <si>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</si>
  <si>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</si>
  <si>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</si>
  <si>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</si>
  <si>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</si>
  <si>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</si>
  <si>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</si>
  <si>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</si>
  <si>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</si>
  <si>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</si>
  <si>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</si>
  <si>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</si>
  <si>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</si>
  <si>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</si>
  <si>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</si>
  <si>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</si>
  <si>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</si>
  <si>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</si>
  <si>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</si>
  <si>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</si>
  <si>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</si>
  <si>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</si>
  <si>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</si>
  <si>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</si>
  <si>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</si>
  <si>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</si>
  <si>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</si>
  <si>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</si>
  <si>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</si>
  <si>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</si>
  <si>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</si>
  <si>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</si>
  <si>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</si>
  <si>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</si>
  <si>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</si>
  <si>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</si>
  <si>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</si>
  <si>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</si>
  <si>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</si>
  <si>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</si>
  <si>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</si>
  <si>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</si>
  <si>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</si>
  <si>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</si>
  <si>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</si>
  <si>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</si>
  <si>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</si>
  <si>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</si>
  <si>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</si>
  <si>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</si>
  <si>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</si>
  <si>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</si>
  <si>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</si>
  <si>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</si>
  <si>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</si>
  <si>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</si>
  <si>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</si>
  <si>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</si>
  <si>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</si>
  <si>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</si>
  <si>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</si>
  <si>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</si>
  <si>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</si>
  <si>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</si>
  <si>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</si>
  <si>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</si>
  <si>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</si>
  <si>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</si>
  <si>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</si>
  <si>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</si>
  <si>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</si>
  <si>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</si>
  <si>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</si>
  <si>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</si>
  <si>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</si>
  <si>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</si>
  <si>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</si>
  <si>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</si>
  <si>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</si>
  <si>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</si>
  <si>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</si>
  <si>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</si>
  <si>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</si>
  <si>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</si>
  <si>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</si>
  <si>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</si>
  <si>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</si>
  <si>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</si>
  <si>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</si>
  <si>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</si>
  <si>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</si>
  <si>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</si>
  <si>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</si>
  <si>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</si>
  <si>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</si>
  <si>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</si>
  <si>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</si>
  <si>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</si>
  <si>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</si>
  <si>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</si>
  <si>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</si>
  <si>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</si>
  <si>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</si>
  <si>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</si>
  <si>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</si>
  <si>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</si>
  <si>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</si>
  <si>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</si>
  <si>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</si>
  <si>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</si>
  <si>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</si>
  <si>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</si>
  <si>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</si>
  <si>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</si>
  <si>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</si>
  <si>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</si>
  <si>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</si>
  <si>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</si>
  <si>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</si>
  <si>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</si>
  <si>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</si>
  <si>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</si>
  <si>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</si>
  <si>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</si>
  <si>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</si>
  <si>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</si>
  <si>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</si>
  <si>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</si>
  <si>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</si>
  <si>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</si>
  <si>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</si>
  <si>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</si>
  <si>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</si>
  <si>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</si>
  <si>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</si>
  <si>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</si>
  <si>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</si>
  <si>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</si>
  <si>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</si>
  <si>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</si>
  <si>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</si>
  <si>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</si>
  <si>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</si>
  <si>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</si>
  <si>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</si>
  <si>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</si>
  <si>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</si>
  <si>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</si>
  <si>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</si>
  <si>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</si>
  <si>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</si>
  <si>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</si>
  <si>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</si>
  <si>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</si>
  <si>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</si>
  <si>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</si>
  <si>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</si>
  <si>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</si>
  <si>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</si>
  <si>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</si>
  <si>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</si>
  <si>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</si>
  <si>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</si>
  <si>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</si>
  <si>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</si>
  <si>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</si>
  <si>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</si>
  <si>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</si>
  <si>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</si>
  <si>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</si>
  <si>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</si>
  <si>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</si>
  <si>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</si>
  <si>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</si>
  <si>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</si>
  <si>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</si>
  <si>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</si>
  <si>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</si>
  <si>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</si>
  <si>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</si>
  <si>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</si>
  <si>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</si>
  <si>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</si>
  <si>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</si>
  <si>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</si>
  <si>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</si>
  <si>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</si>
  <si>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</si>
  <si>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</si>
  <si>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</si>
  <si>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</si>
  <si>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</si>
  <si>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</si>
  <si>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</si>
  <si>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</si>
  <si>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</si>
  <si>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</si>
  <si>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</si>
  <si>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</si>
  <si>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</si>
  <si>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</si>
  <si>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</si>
  <si>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</si>
  <si>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</si>
  <si>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</si>
  <si>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</si>
  <si>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</si>
  <si>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</si>
  <si>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</si>
  <si>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</si>
  <si>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</si>
  <si>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</si>
  <si>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</si>
  <si>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</si>
  <si>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</si>
  <si>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</si>
  <si>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</si>
  <si>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</si>
  <si>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</si>
  <si>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</si>
  <si>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</si>
  <si>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</si>
  <si>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</si>
  <si>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</si>
  <si>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</si>
  <si>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</si>
  <si>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</si>
  <si>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</si>
  <si>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</si>
  <si>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</si>
  <si>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</si>
  <si>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</si>
  <si>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</si>
  <si>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</si>
  <si>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</si>
  <si>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</si>
  <si>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</si>
  <si>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</si>
  <si>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</si>
  <si>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</si>
  <si>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</si>
  <si>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</si>
  <si>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</si>
  <si>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</si>
  <si>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</si>
  <si>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</si>
  <si>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</si>
  <si>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</si>
  <si>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</si>
  <si>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</si>
  <si>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</si>
  <si>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</si>
  <si>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</si>
  <si>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</si>
  <si>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</si>
  <si>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</si>
  <si>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</si>
  <si>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</si>
  <si>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</si>
  <si>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</si>
  <si>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</si>
  <si>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</si>
  <si>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</si>
  <si>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</si>
  <si>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</si>
  <si>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</si>
  <si>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</si>
  <si>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</si>
  <si>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</si>
  <si>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</si>
  <si>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</si>
  <si>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</si>
  <si>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</si>
  <si>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</si>
  <si>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</si>
  <si>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</si>
  <si>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</si>
  <si>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</si>
  <si>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</si>
  <si>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</si>
  <si>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</si>
  <si>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</si>
  <si>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</si>
  <si>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</si>
  <si>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</si>
  <si>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</si>
  <si>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</si>
  <si>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</si>
  <si>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</si>
  <si>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</si>
  <si>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</si>
  <si>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</si>
  <si>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</si>
  <si>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</si>
  <si>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</si>
  <si>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</si>
  <si>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</si>
  <si>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</si>
  <si>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</si>
  <si>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</si>
  <si>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</si>
  <si>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</si>
  <si>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</si>
  <si>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</si>
  <si>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</si>
  <si>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</si>
  <si>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</si>
  <si>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</si>
  <si>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</si>
  <si>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</si>
  <si>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</si>
  <si>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</si>
  <si>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</si>
  <si>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</si>
  <si>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</si>
  <si>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</si>
  <si>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</si>
  <si>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</si>
  <si>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</si>
  <si>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</si>
  <si>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</si>
  <si>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</si>
  <si>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</si>
  <si>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</si>
  <si>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</si>
  <si>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</si>
  <si>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</si>
  <si>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</si>
  <si>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</si>
  <si>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</si>
  <si>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</si>
  <si>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</si>
  <si>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</si>
  <si>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</si>
  <si>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</si>
  <si>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</si>
  <si>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</si>
  <si>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</si>
  <si>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</si>
  <si>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</si>
  <si>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</si>
  <si>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</si>
  <si>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</si>
  <si>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</si>
  <si>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</si>
  <si>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</si>
  <si>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</si>
  <si>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</si>
  <si>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</si>
  <si>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</si>
  <si>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</si>
  <si>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</si>
  <si>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</si>
  <si>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</si>
  <si>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</si>
  <si>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</si>
  <si>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</si>
  <si>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</si>
  <si>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</si>
  <si>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</si>
  <si>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</si>
  <si>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</si>
  <si>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</si>
  <si>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</si>
  <si>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</si>
  <si>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</si>
  <si>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</si>
  <si>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</si>
  <si>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</si>
  <si>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</si>
  <si>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</si>
  <si>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</si>
  <si>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</si>
  <si>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</si>
  <si>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</si>
  <si>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</si>
  <si>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</si>
  <si>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</si>
  <si>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</si>
  <si>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</si>
  <si>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</si>
  <si>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</si>
  <si>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</si>
  <si>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</si>
  <si>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</si>
  <si>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</si>
  <si>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</si>
  <si>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</si>
  <si>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</si>
  <si>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</si>
  <si>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</si>
  <si>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</si>
  <si>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</si>
  <si>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</si>
  <si>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</si>
  <si>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</si>
  <si>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</si>
  <si>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</si>
  <si>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</si>
  <si>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</si>
  <si>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</si>
  <si>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</si>
  <si>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</si>
  <si>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</si>
  <si>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</si>
  <si>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</si>
  <si>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</si>
  <si>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</si>
  <si>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</si>
  <si>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</si>
  <si>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</si>
  <si>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</si>
  <si>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</si>
  <si>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</si>
  <si>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</si>
  <si>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</si>
  <si>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</si>
  <si>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</si>
  <si>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</si>
  <si>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</si>
  <si>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</si>
  <si>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</si>
  <si>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</si>
  <si>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</si>
  <si>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</si>
  <si>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</si>
  <si>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</si>
  <si>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</si>
  <si>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</si>
  <si>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</si>
  <si>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</si>
  <si>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</si>
  <si>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</si>
  <si>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</si>
  <si>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</si>
  <si>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</si>
  <si>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</si>
  <si>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</si>
  <si>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</si>
  <si>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</si>
  <si>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</si>
  <si>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</si>
  <si>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</si>
  <si>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</si>
  <si>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</si>
  <si>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</si>
  <si>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</si>
  <si>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</si>
  <si>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</si>
  <si>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</si>
  <si>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</si>
  <si>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</si>
  <si>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</si>
  <si>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</si>
  <si>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</si>
  <si>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</si>
  <si>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</si>
  <si>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</si>
  <si>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</si>
  <si>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</si>
  <si>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</si>
  <si>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</si>
  <si>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</si>
  <si>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</si>
  <si>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</si>
  <si>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</si>
  <si>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</si>
  <si>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</si>
  <si>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</si>
  <si>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</si>
  <si>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</si>
  <si>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</si>
  <si>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</si>
  <si>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</si>
  <si>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</si>
  <si>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</si>
  <si>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</si>
  <si>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</si>
  <si>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</si>
  <si>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</si>
  <si>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</si>
  <si>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</si>
  <si>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</si>
  <si>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</si>
  <si>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</si>
  <si>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</si>
  <si>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</si>
  <si>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</si>
  <si>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</si>
  <si>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</si>
  <si>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</si>
  <si>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</si>
  <si>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</si>
  <si>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</si>
  <si>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</si>
  <si>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</si>
  <si>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</si>
  <si>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</si>
  <si>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</si>
  <si>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</si>
  <si>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</si>
  <si>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</si>
  <si>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</si>
  <si>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</si>
  <si>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</si>
  <si>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</si>
  <si>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</si>
  <si>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</si>
  <si>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</si>
  <si>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</si>
  <si>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</si>
  <si>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</si>
  <si>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</si>
  <si>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</si>
  <si>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</si>
  <si>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</si>
  <si>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</si>
  <si>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</si>
  <si>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</si>
  <si>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</si>
  <si>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</si>
  <si>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</si>
  <si>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</si>
  <si>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</si>
  <si>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</si>
  <si>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</si>
  <si>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</si>
  <si>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</si>
  <si>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</si>
  <si>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</si>
  <si>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</si>
  <si>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</si>
  <si>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</si>
  <si>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</si>
  <si>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</si>
  <si>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</si>
  <si>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</si>
  <si>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</si>
  <si>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</si>
  <si>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</si>
  <si>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</si>
  <si>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</si>
  <si>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</si>
  <si>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</si>
  <si>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</si>
  <si>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</si>
  <si>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</si>
  <si>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</si>
  <si>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</si>
  <si>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</si>
  <si>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</si>
  <si>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</si>
  <si>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</si>
  <si>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</si>
  <si>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</si>
  <si>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</si>
  <si>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</si>
  <si>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</si>
  <si>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</si>
  <si>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</si>
  <si>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</si>
  <si>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</si>
  <si>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</si>
  <si>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</si>
  <si>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</si>
  <si>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</si>
  <si>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</si>
  <si>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</si>
  <si>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</si>
  <si>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</si>
  <si>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</si>
  <si>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</si>
  <si>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</si>
  <si>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</si>
  <si>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</si>
  <si>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</si>
  <si>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</si>
  <si>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</si>
  <si>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</si>
  <si>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</si>
  <si>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</si>
  <si>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</si>
  <si>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</si>
  <si>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</si>
  <si>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</si>
  <si>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</si>
  <si>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</si>
  <si>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</si>
  <si>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</si>
  <si>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</si>
  <si>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</si>
  <si>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</si>
  <si>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</si>
  <si>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</si>
  <si>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</si>
  <si>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</si>
  <si>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</si>
  <si>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</si>
  <si>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</si>
  <si>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</si>
  <si>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</si>
  <si>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</si>
  <si>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</si>
  <si>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</si>
  <si>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</si>
  <si>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</si>
  <si>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</si>
  <si>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</si>
  <si>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</si>
  <si>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</si>
  <si>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</si>
  <si>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</si>
  <si>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</si>
  <si>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</si>
  <si>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</si>
  <si>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</si>
  <si>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</si>
  <si>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</si>
  <si>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</si>
  <si>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</si>
  <si>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</si>
  <si>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</si>
  <si>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</si>
  <si>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</si>
  <si>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</si>
  <si>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</si>
  <si>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</si>
  <si>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</si>
  <si>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</si>
  <si>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</si>
  <si>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</si>
  <si>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</si>
  <si>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</si>
  <si>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</si>
  <si>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</si>
  <si>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</si>
  <si>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</si>
  <si>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</si>
  <si>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</si>
  <si>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</si>
  <si>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</si>
  <si>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</si>
  <si>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</si>
  <si>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</si>
  <si>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</si>
  <si>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</si>
  <si>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</si>
  <si>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</si>
  <si>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</si>
  <si>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</si>
  <si>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</si>
  <si>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</si>
  <si>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</si>
  <si>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</si>
  <si>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</si>
  <si>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</si>
  <si>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</si>
  <si>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</si>
  <si>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</si>
  <si>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</si>
  <si>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</si>
  <si>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</si>
  <si>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</si>
  <si>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</si>
  <si>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</si>
  <si>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</si>
  <si>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</si>
  <si>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</si>
  <si>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</si>
  <si>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</si>
  <si>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</si>
  <si>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</si>
  <si>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</si>
  <si>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</si>
  <si>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</si>
  <si>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</si>
  <si>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</si>
  <si>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</si>
  <si>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</si>
  <si>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</si>
  <si>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</si>
  <si>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</si>
  <si>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</si>
  <si>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</si>
  <si>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</si>
  <si>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</si>
  <si>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</si>
  <si>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</si>
  <si>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</si>
  <si>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</si>
  <si>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</si>
  <si>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</si>
  <si>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</si>
  <si>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</si>
  <si>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</si>
  <si>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</si>
  <si>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</si>
  <si>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</si>
  <si>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</si>
  <si>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</si>
  <si>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</si>
  <si>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</si>
  <si>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</si>
  <si>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</si>
  <si>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</si>
  <si>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</si>
  <si>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</si>
  <si>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</si>
  <si>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</si>
  <si>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</si>
  <si>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</si>
  <si>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</si>
  <si>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</si>
  <si>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</si>
  <si>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</si>
  <si>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</si>
  <si>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</si>
  <si>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</si>
  <si>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</si>
  <si>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</si>
  <si>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</si>
  <si>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</si>
  <si>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</si>
  <si>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</si>
  <si>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</si>
  <si>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</si>
  <si>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</si>
  <si>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</si>
  <si>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</si>
  <si>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</si>
  <si>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</si>
  <si>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</si>
  <si>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</si>
  <si>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</si>
  <si>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</si>
  <si>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</si>
  <si>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</si>
  <si>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</si>
  <si>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</si>
  <si>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</si>
  <si>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</si>
  <si>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</si>
  <si>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</si>
  <si>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</si>
  <si>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</si>
  <si>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</si>
  <si>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</si>
  <si>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</si>
  <si>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</si>
  <si>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</si>
  <si>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</si>
  <si>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</si>
  <si>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</si>
  <si>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</si>
  <si>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</si>
  <si>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</si>
  <si>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</si>
  <si>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</si>
  <si>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</si>
  <si>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</si>
  <si>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</si>
  <si>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</si>
  <si>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</si>
  <si>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</si>
  <si>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</si>
  <si>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</si>
  <si>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</si>
  <si>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</si>
  <si>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</si>
  <si>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</si>
  <si>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</si>
  <si>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</si>
  <si>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</si>
  <si>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</si>
  <si>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</si>
  <si>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</si>
  <si>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</si>
  <si>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</si>
  <si>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</si>
  <si>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</si>
  <si>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</si>
  <si>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</si>
  <si>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</si>
  <si>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</si>
  <si>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</si>
  <si>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</si>
  <si>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</si>
  <si>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</si>
  <si>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</si>
  <si>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</si>
  <si>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</si>
  <si>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</si>
  <si>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</si>
  <si>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</si>
  <si>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</si>
  <si>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</si>
  <si>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</si>
  <si>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</si>
  <si>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</si>
  <si>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</si>
  <si>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</si>
  <si>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</si>
  <si>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</si>
  <si>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</si>
  <si>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</si>
  <si>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</si>
  <si>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</si>
  <si>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</si>
  <si>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</si>
  <si>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</si>
  <si>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</si>
  <si>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</si>
  <si>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</si>
  <si>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</si>
  <si>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</si>
  <si>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</si>
  <si>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</si>
  <si>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</si>
  <si>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</si>
  <si>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</si>
  <si>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</si>
  <si>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</si>
  <si>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</si>
  <si>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</si>
  <si>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</si>
  <si>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</si>
  <si>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</si>
  <si>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</si>
  <si>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</si>
  <si>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</si>
  <si>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</si>
  <si>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</si>
  <si>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</si>
  <si>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</si>
  <si>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</si>
  <si>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</si>
  <si>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</si>
  <si>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</si>
  <si>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</si>
  <si>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</si>
  <si>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</si>
  <si>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</si>
  <si>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</si>
  <si>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</si>
  <si>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</si>
  <si>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</si>
  <si>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</si>
  <si>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</si>
  <si>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</si>
  <si>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</si>
  <si>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</si>
  <si>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</si>
  <si>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</si>
  <si>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</si>
  <si>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</si>
  <si>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</si>
  <si>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</si>
  <si>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</si>
  <si>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</si>
  <si>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</si>
  <si>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</si>
  <si>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</si>
  <si>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</si>
  <si>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</si>
  <si>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</si>
  <si>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</si>
  <si>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</si>
  <si>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</si>
  <si>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</si>
  <si>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</si>
  <si>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</si>
  <si>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</si>
  <si>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</si>
  <si>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</si>
  <si>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</si>
  <si>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</si>
  <si>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</si>
  <si>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</si>
  <si>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</si>
  <si>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</si>
  <si>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</si>
  <si>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</si>
  <si>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</si>
  <si>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</si>
  <si>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</si>
  <si>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</si>
  <si>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</si>
  <si>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</si>
  <si>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</si>
  <si>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</si>
  <si>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</si>
  <si>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</si>
  <si>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</si>
  <si>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</si>
  <si>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</si>
  <si>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</si>
  <si>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</si>
  <si>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</si>
  <si>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</si>
  <si>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</si>
  <si>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</si>
  <si>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</si>
  <si>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</si>
  <si>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</si>
  <si>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</si>
  <si>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</si>
  <si>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</si>
  <si>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</si>
  <si>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</si>
  <si>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</si>
  <si>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</si>
  <si>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</si>
  <si>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</si>
  <si>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</si>
  <si>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</si>
  <si>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</si>
  <si>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</si>
  <si>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</si>
  <si>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</si>
  <si>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</si>
  <si>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</si>
  <si>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</si>
  <si>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</si>
  <si>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</si>
  <si>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</si>
  <si>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</si>
  <si>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</si>
  <si>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</si>
  <si>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</si>
  <si>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</si>
  <si>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</si>
  <si>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</si>
  <si>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</si>
  <si>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</si>
  <si>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</si>
  <si>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</si>
  <si>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</si>
  <si>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</si>
  <si>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</si>
  <si>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</si>
  <si>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</si>
  <si>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</si>
  <si>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</si>
  <si>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</si>
  <si>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</si>
  <si>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</si>
  <si>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</si>
  <si>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</si>
  <si>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</si>
  <si>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</si>
  <si>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</si>
  <si>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</si>
  <si>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</si>
  <si>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</si>
  <si>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</si>
  <si>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</si>
  <si>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</si>
  <si>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</si>
  <si>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</si>
  <si>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</si>
  <si>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</si>
  <si>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</si>
  <si>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</si>
  <si>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</si>
  <si>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</si>
  <si>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</si>
  <si>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</si>
  <si>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</si>
  <si>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</si>
  <si>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</si>
  <si>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</si>
  <si>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</si>
  <si>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</si>
  <si>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</si>
  <si>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</si>
  <si>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</si>
  <si>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</si>
  <si>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</si>
  <si>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</si>
  <si>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</si>
  <si>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</si>
  <si>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</si>
  <si>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</si>
  <si>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</si>
  <si>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</si>
  <si>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</si>
  <si>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</si>
  <si>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</si>
  <si>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</si>
  <si>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</si>
  <si>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</si>
  <si>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</si>
  <si>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</si>
  <si>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</si>
  <si>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</si>
  <si>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</si>
  <si>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</si>
  <si>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</si>
  <si>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</si>
  <si>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</si>
  <si>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</si>
  <si>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</si>
  <si>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</si>
  <si>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</si>
  <si>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</si>
  <si>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</si>
  <si>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</si>
  <si>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</si>
  <si>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</si>
  <si>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</si>
  <si>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</si>
  <si>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</si>
  <si>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</si>
  <si>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</si>
  <si>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</si>
  <si>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</si>
  <si>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</si>
  <si>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</si>
  <si>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</si>
  <si>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</si>
  <si>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</si>
  <si>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</si>
  <si>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</si>
  <si>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</si>
  <si>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</si>
  <si>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</si>
  <si>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</si>
  <si>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</si>
  <si>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</si>
  <si>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</si>
  <si>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</si>
  <si>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</si>
  <si>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</si>
  <si>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</si>
  <si>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</si>
  <si>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</si>
  <si>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</si>
  <si>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</si>
  <si>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</si>
  <si>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</si>
  <si>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</si>
  <si>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</si>
  <si>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</si>
  <si>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</si>
  <si>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</si>
  <si>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</si>
  <si>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</si>
  <si>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</si>
  <si>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</si>
  <si>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</si>
  <si>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</si>
  <si>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</si>
  <si>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</si>
  <si>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</si>
  <si>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</si>
  <si>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</si>
  <si>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</si>
  <si>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</si>
  <si>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</si>
  <si>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</si>
  <si>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</si>
  <si>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</si>
  <si>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</si>
  <si>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</si>
  <si>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</si>
  <si>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</si>
  <si>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</si>
  <si>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</si>
  <si>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</si>
  <si>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</si>
  <si>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</si>
  <si>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</si>
  <si>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</si>
  <si>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</si>
  <si>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</si>
  <si>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</si>
  <si>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</si>
  <si>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</si>
  <si>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</si>
  <si>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</si>
  <si>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</si>
  <si>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</si>
  <si>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</si>
  <si>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</si>
  <si>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</si>
  <si>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</si>
  <si>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</si>
  <si>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</si>
  <si>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</si>
  <si>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</si>
  <si>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</si>
  <si>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</si>
  <si>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</si>
  <si>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</si>
  <si>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</si>
  <si>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</si>
  <si>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</si>
  <si>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</si>
  <si>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</si>
  <si>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</si>
  <si>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</si>
  <si>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</si>
  <si>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</si>
  <si>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</si>
  <si>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</si>
  <si>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</si>
  <si>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</si>
  <si>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</si>
  <si>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</si>
  <si>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</si>
  <si>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</si>
  <si>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</si>
  <si>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</si>
  <si>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</si>
  <si>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</si>
  <si>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</si>
  <si>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</si>
  <si>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</si>
  <si>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</si>
  <si>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</si>
  <si>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</si>
  <si>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</si>
  <si>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</si>
  <si>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</si>
  <si>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</si>
  <si>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</si>
  <si>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</si>
  <si>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</si>
  <si>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</si>
  <si>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</si>
  <si>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</si>
  <si>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</si>
  <si>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</si>
  <si>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</si>
  <si>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</si>
  <si>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</si>
  <si>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</si>
  <si>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</si>
  <si>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</si>
  <si>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</si>
  <si>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</si>
  <si>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</si>
  <si>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</si>
  <si>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</si>
  <si>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</si>
  <si>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</si>
  <si>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</si>
  <si>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</si>
  <si>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</si>
  <si>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</si>
  <si>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</si>
  <si>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</si>
  <si>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</si>
  <si>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</si>
  <si>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</si>
  <si>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</si>
  <si>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</si>
  <si>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</si>
  <si>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</si>
  <si>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</si>
  <si>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</si>
  <si>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</si>
  <si>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</si>
  <si>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</si>
  <si>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</si>
  <si>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</si>
  <si>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</si>
  <si>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</si>
  <si>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</si>
  <si>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</si>
  <si>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</si>
  <si>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</si>
  <si>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</si>
  <si>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</si>
  <si>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</si>
  <si>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</si>
  <si>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</si>
  <si>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</si>
  <si>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</si>
  <si>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</si>
  <si>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</si>
  <si>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</si>
  <si>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</si>
  <si>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</si>
  <si>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</si>
  <si>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</si>
  <si>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</si>
  <si>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</si>
  <si>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</si>
  <si>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</si>
  <si>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</si>
  <si>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</si>
  <si>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</si>
  <si>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</si>
  <si>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</si>
  <si>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</si>
  <si>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</si>
  <si>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</si>
  <si>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</si>
  <si>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</si>
  <si>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</si>
  <si>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</si>
  <si>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</si>
  <si>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</si>
  <si>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</si>
  <si>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</si>
  <si>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</si>
  <si>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</si>
  <si>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</si>
  <si>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</si>
  <si>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</si>
  <si>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</si>
  <si>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</si>
  <si>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</si>
  <si>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</si>
  <si>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</si>
  <si>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</si>
  <si>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</si>
  <si>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</si>
  <si>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</si>
  <si>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</si>
  <si>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</si>
  <si>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</si>
  <si>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</si>
  <si>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</si>
  <si>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</si>
  <si>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</si>
  <si>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</si>
  <si>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</si>
  <si>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</si>
  <si>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</si>
  <si>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</si>
  <si>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</si>
  <si>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</si>
  <si>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</si>
  <si>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</si>
  <si>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</si>
  <si>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</si>
  <si>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</si>
  <si>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</si>
  <si>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</si>
  <si>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</si>
  <si>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</si>
  <si>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</si>
  <si>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</si>
  <si>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</si>
  <si>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</si>
  <si>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</si>
  <si>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</si>
  <si>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</si>
  <si>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</si>
  <si>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</si>
  <si>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</si>
  <si>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</si>
  <si>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</si>
  <si>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</si>
  <si>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</si>
  <si>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</si>
  <si>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</si>
  <si>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</si>
  <si>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</si>
  <si>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</si>
  <si>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</si>
  <si>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</si>
  <si>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</si>
  <si>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</si>
  <si>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</si>
  <si>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</si>
  <si>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</si>
  <si>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</si>
  <si>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</si>
  <si>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</si>
  <si>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</si>
  <si>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</si>
  <si>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</si>
  <si>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</si>
  <si>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</si>
  <si>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</si>
  <si>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</si>
  <si>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</si>
  <si>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</si>
  <si>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</si>
  <si>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</si>
  <si>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</si>
  <si>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</si>
  <si>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</si>
  <si>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</si>
  <si>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</si>
  <si>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</si>
  <si>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</si>
  <si>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</si>
  <si>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</si>
  <si>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</si>
  <si>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</si>
  <si>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</si>
  <si>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</si>
  <si>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</si>
  <si>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</si>
  <si>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</si>
  <si>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</si>
  <si>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</si>
  <si>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</si>
  <si>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</si>
  <si>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</si>
  <si>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</si>
  <si>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</si>
  <si>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</si>
  <si>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</si>
  <si>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</si>
  <si>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</si>
  <si>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</si>
  <si>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</si>
  <si>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</si>
  <si>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</si>
  <si>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</si>
  <si>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</si>
  <si>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</si>
  <si>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</si>
  <si>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</si>
  <si>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</si>
  <si>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</si>
  <si>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</si>
  <si>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</si>
  <si>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</si>
  <si>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</si>
  <si>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</si>
  <si>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</si>
  <si>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</si>
  <si>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</si>
  <si>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</si>
  <si>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</si>
  <si>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</si>
  <si>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</si>
  <si>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</si>
  <si>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</si>
  <si>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</si>
  <si>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</si>
  <si>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</si>
  <si>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</si>
  <si>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</si>
  <si>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</si>
  <si>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</si>
  <si>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</si>
  <si>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</si>
  <si>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</si>
  <si>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</si>
  <si>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</si>
  <si>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</si>
  <si>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</si>
  <si>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</si>
  <si>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</si>
  <si>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</si>
  <si>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</si>
  <si>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</si>
  <si>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</si>
  <si>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</si>
  <si>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</si>
  <si>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</si>
  <si>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</si>
  <si>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</si>
  <si>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</si>
  <si>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</si>
  <si>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</si>
  <si>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</si>
  <si>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</si>
  <si>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</si>
  <si>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</si>
  <si>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</si>
  <si>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</si>
  <si>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</si>
  <si>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</si>
  <si>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</si>
  <si>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</si>
  <si>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</si>
  <si>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</si>
  <si>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</si>
  <si>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</si>
  <si>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</si>
  <si>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</si>
  <si>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</si>
  <si>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</si>
  <si>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</si>
  <si>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</si>
  <si>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</si>
  <si>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</si>
  <si>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</si>
  <si>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</si>
  <si>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</si>
  <si>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</si>
  <si>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</si>
  <si>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</si>
  <si>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</si>
  <si>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</si>
  <si>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</si>
  <si>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</si>
  <si>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</si>
  <si>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</si>
  <si>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</si>
  <si>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</si>
  <si>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</si>
  <si>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</si>
  <si>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</si>
  <si>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</si>
  <si>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</si>
  <si>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</si>
  <si>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</si>
  <si>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</si>
  <si>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</si>
  <si>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</si>
  <si>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</si>
  <si>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</si>
  <si>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</si>
  <si>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</si>
  <si>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</si>
  <si>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</si>
  <si>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</si>
  <si>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</si>
  <si>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</si>
  <si>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</si>
  <si>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</si>
  <si>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</si>
  <si>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</si>
  <si>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</si>
  <si>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</si>
  <si>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</si>
  <si>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</si>
  <si>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</si>
  <si>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</si>
  <si>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</si>
  <si>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</si>
  <si>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</si>
  <si>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</si>
  <si>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</si>
  <si>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</si>
  <si>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</si>
  <si>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</si>
  <si>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</si>
  <si>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</si>
  <si>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</si>
  <si>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</si>
  <si>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</si>
  <si>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</si>
  <si>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</si>
  <si>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</si>
  <si>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</si>
  <si>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</si>
  <si>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</si>
  <si>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</si>
  <si>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</si>
  <si>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</si>
  <si>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</si>
  <si>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</si>
  <si>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</si>
  <si>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</si>
  <si>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</si>
  <si>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</si>
  <si>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</si>
  <si>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</si>
  <si>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</si>
  <si>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</si>
  <si>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</si>
  <si>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</si>
  <si>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</si>
  <si>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</si>
  <si>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</si>
  <si>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</si>
  <si>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</si>
  <si>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</si>
  <si>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</si>
  <si>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</si>
  <si>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</si>
  <si>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</si>
  <si>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</si>
  <si>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</si>
  <si>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</si>
  <si>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</si>
  <si>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</si>
  <si>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</si>
  <si>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</si>
  <si>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</si>
  <si>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</si>
  <si>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</si>
  <si>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</si>
  <si>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</si>
  <si>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</si>
  <si>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</si>
  <si>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</si>
  <si>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</si>
  <si>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</si>
  <si>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</si>
  <si>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</si>
  <si>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</si>
  <si>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</si>
  <si>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</si>
  <si>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</si>
  <si>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</si>
  <si>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</si>
  <si>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</si>
  <si>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</si>
  <si>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</si>
  <si>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</si>
  <si>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</si>
  <si>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</si>
  <si>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</si>
  <si>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</si>
  <si>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</si>
  <si>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</si>
  <si>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</si>
  <si>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</si>
  <si>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</si>
  <si>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</si>
  <si>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</si>
  <si>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</si>
  <si>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</si>
  <si>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</si>
  <si>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</si>
  <si>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</si>
  <si>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</si>
  <si>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</si>
  <si>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</si>
  <si>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</si>
  <si>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</si>
  <si>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</si>
  <si>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</si>
  <si>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</si>
  <si>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</si>
  <si>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</si>
  <si>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</si>
  <si>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</si>
  <si>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</si>
  <si>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</si>
  <si>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</si>
  <si>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</si>
  <si>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</si>
  <si>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</si>
  <si>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</si>
  <si>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</si>
  <si>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</si>
  <si>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</si>
  <si>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</si>
  <si>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</si>
  <si>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</si>
  <si>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</si>
  <si>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</si>
  <si>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</si>
  <si>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</si>
  <si>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</si>
  <si>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</si>
  <si>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</si>
  <si>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</si>
  <si>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</si>
  <si>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</si>
  <si>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</si>
  <si>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</si>
  <si>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</si>
  <si>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</si>
  <si>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</si>
  <si>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</si>
  <si>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</si>
  <si>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</si>
  <si>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</si>
  <si>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</si>
  <si>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</si>
  <si>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</si>
  <si>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</si>
  <si>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</si>
  <si>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</si>
  <si>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</si>
  <si>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</si>
  <si>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</si>
  <si>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</si>
  <si>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</si>
  <si>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</si>
  <si>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</si>
  <si>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</si>
  <si>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</si>
  <si>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</si>
  <si>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</si>
  <si>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</si>
  <si>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</si>
  <si>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</si>
  <si>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</si>
  <si>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</si>
  <si>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</si>
  <si>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</si>
  <si>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</si>
  <si>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</si>
  <si>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</si>
  <si>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</si>
  <si>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</si>
  <si>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</si>
  <si>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</si>
  <si>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</si>
  <si>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</si>
  <si>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</si>
  <si>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</si>
  <si>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</si>
  <si>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</si>
  <si>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</si>
  <si>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</si>
  <si>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</si>
  <si>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</si>
  <si>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</si>
  <si>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</si>
  <si>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</si>
  <si>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</si>
  <si>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</si>
  <si>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</si>
  <si>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</si>
  <si>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</si>
  <si>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</si>
  <si>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</si>
  <si>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</si>
  <si>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</si>
  <si>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</si>
  <si>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</si>
  <si>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</si>
  <si>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</si>
  <si>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</si>
  <si>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</si>
  <si>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</si>
  <si>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</si>
  <si>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</si>
  <si>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</si>
  <si>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</si>
  <si>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</si>
  <si>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</si>
  <si>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</si>
  <si>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</si>
  <si>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</si>
  <si>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</si>
  <si>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</si>
  <si>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</si>
  <si>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</si>
  <si>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</si>
  <si>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</si>
  <si>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</si>
  <si>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</si>
  <si>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</si>
  <si>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</si>
  <si>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</si>
  <si>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</si>
  <si>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</si>
  <si>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</si>
  <si>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</si>
  <si>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</si>
  <si>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</si>
  <si>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</si>
  <si>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</si>
  <si>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</si>
  <si>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</si>
  <si>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</si>
  <si>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</si>
  <si>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</si>
  <si>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</si>
  <si>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</si>
  <si>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</si>
  <si>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</si>
  <si>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</si>
  <si>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</si>
  <si>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</si>
  <si>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</si>
  <si>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</si>
  <si>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</si>
  <si>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</si>
  <si>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</si>
  <si>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</si>
  <si>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</si>
  <si>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</si>
  <si>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</si>
  <si>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</si>
  <si>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</si>
  <si>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</si>
  <si>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</si>
  <si>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</si>
  <si>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</si>
  <si>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</si>
  <si>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</si>
  <si>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</si>
  <si>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</si>
  <si>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</si>
  <si>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</si>
  <si>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</si>
  <si>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</si>
  <si>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</si>
  <si>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</si>
  <si>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</si>
  <si>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</si>
  <si>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</si>
  <si>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</si>
  <si>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</si>
  <si>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</si>
  <si>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</si>
  <si>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</si>
  <si>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</si>
  <si>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</si>
  <si>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</si>
  <si>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</si>
  <si>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</si>
  <si>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</si>
  <si>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</si>
  <si>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</si>
  <si>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</si>
  <si>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</si>
  <si>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</si>
  <si>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</si>
  <si>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</si>
  <si>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</si>
  <si>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</si>
  <si>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</si>
  <si>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</si>
  <si>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</si>
  <si>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</si>
  <si>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</si>
  <si>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</si>
  <si>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</si>
  <si>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</si>
  <si>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</si>
  <si>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</si>
  <si>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</si>
  <si>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</si>
  <si>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</si>
  <si>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</si>
  <si>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</si>
  <si>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</si>
  <si>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</si>
  <si>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</si>
  <si>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</si>
  <si>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</si>
  <si>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</si>
  <si>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</si>
  <si>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</si>
  <si>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</si>
  <si>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</si>
  <si>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</si>
  <si>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</si>
  <si>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</si>
  <si>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</si>
  <si>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</si>
  <si>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</si>
  <si>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</si>
  <si>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</si>
  <si>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</si>
  <si>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</si>
  <si>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</si>
  <si>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</si>
  <si>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</si>
  <si>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</si>
  <si>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</si>
  <si>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</si>
  <si>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</si>
  <si>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</si>
  <si>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</si>
  <si>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</si>
  <si>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</si>
  <si>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</si>
  <si>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</si>
  <si>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</si>
  <si>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</si>
  <si>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</si>
  <si>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</si>
  <si>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</si>
  <si>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</si>
  <si>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</si>
  <si>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</si>
  <si>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</si>
  <si>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Treehouse Leimert</t>
  </si>
  <si>
    <t>5013-013-003; 5013-013-004; 5013-013-005</t>
  </si>
  <si>
    <t>‎2345.02</t>
  </si>
  <si>
    <t>40%/60% Average Income</t>
  </si>
  <si>
    <t>Butterfly's Haven</t>
  </si>
  <si>
    <t>4425 Crenshaw Blvd</t>
  </si>
  <si>
    <t>CA</t>
  </si>
  <si>
    <t>Brittany Walker</t>
  </si>
  <si>
    <t>323-967-1164</t>
  </si>
  <si>
    <t>bwalker@butterflyshaven.org</t>
  </si>
  <si>
    <t>Managing GP</t>
  </si>
  <si>
    <t>Administrative GP</t>
  </si>
  <si>
    <t>Laing Companies</t>
  </si>
  <si>
    <t>200 S Barrington St. #492476</t>
  </si>
  <si>
    <t>Alexis Laing</t>
  </si>
  <si>
    <t>‪(424) 652-8343‬</t>
  </si>
  <si>
    <t>alaing@laingcompanies.com</t>
  </si>
  <si>
    <t>Consultant</t>
  </si>
  <si>
    <t>Novogradac Consulting LLP</t>
  </si>
  <si>
    <t>1160 Battery Street East Building</t>
  </si>
  <si>
    <t>San Francisco, CA, 94111</t>
  </si>
  <si>
    <t>Rachel B. Denton</t>
  </si>
  <si>
    <t xml:space="preserve">(913) 312-4612					</t>
  </si>
  <si>
    <t>rachel.denton@novoco.com</t>
  </si>
  <si>
    <t>California Municipal Finance Authority</t>
  </si>
  <si>
    <t>2111 Palomar Airport Rd, Suite 320</t>
  </si>
  <si>
    <t>Carlsbad, CA 92011</t>
  </si>
  <si>
    <t>Anthony Stubbs</t>
  </si>
  <si>
    <t>760-930-1333</t>
  </si>
  <si>
    <t>astubbs@cmfa-ca.com</t>
  </si>
  <si>
    <t>Inner City Infill Site</t>
  </si>
  <si>
    <t>Commerical/Retail is a separate entity. The building will have 2 condos - 1 for housing and 1 for community serving commerical/retail.</t>
  </si>
  <si>
    <t>Reserve 11 units for extremely low-income household occupancy due to TOC program compliance</t>
  </si>
  <si>
    <t>92'</t>
  </si>
  <si>
    <t>TOC, 101 units</t>
  </si>
  <si>
    <t>n/a</t>
  </si>
  <si>
    <t>Community Commerical, C2-2D-SP</t>
  </si>
  <si>
    <t>Barker Management</t>
  </si>
  <si>
    <t>Barker Management Inc.</t>
  </si>
  <si>
    <t>Prophet Walker</t>
  </si>
  <si>
    <t>Housing Authority of the City of Los Angeles</t>
  </si>
  <si>
    <t>Misc Admin</t>
  </si>
  <si>
    <t>Payroll Taxes/Benefits</t>
  </si>
  <si>
    <t>Misc expenses</t>
  </si>
  <si>
    <t>9350 Wilshire Blvd, Suite 203</t>
  </si>
  <si>
    <t>Beverly Hills</t>
  </si>
  <si>
    <t>1101 E. Orangewood Avenue</t>
  </si>
  <si>
    <t>Anaheim, CA 92805</t>
  </si>
  <si>
    <t>Yessenia Santana</t>
  </si>
  <si>
    <t>(714) 533-3450</t>
  </si>
  <si>
    <t>ysantana@barkermgt.com</t>
  </si>
  <si>
    <t>Timothy Elliot</t>
  </si>
  <si>
    <t>1200 W. 7th Street, 8th Floor</t>
  </si>
  <si>
    <t>213-808-8596</t>
  </si>
  <si>
    <t>213-808-8910</t>
  </si>
  <si>
    <t>Timothy.elliot@lacity.org</t>
  </si>
  <si>
    <t>Beverly Hills, CA 90212</t>
  </si>
  <si>
    <t>Architects Orange LLP dba AO</t>
  </si>
  <si>
    <t>144 North Orange Street</t>
  </si>
  <si>
    <t>Orange, CA 92866</t>
  </si>
  <si>
    <t>Scott Rutledge</t>
  </si>
  <si>
    <t>714.639.9860</t>
  </si>
  <si>
    <t>scottr@aoarchitects.com</t>
  </si>
  <si>
    <t>Bergman and Allderdice</t>
  </si>
  <si>
    <t>1200 Wilshire Blvd., Suite 610</t>
  </si>
  <si>
    <t>Los Angeles, CA  90017</t>
  </si>
  <si>
    <t>Beth S. Bergman</t>
  </si>
  <si>
    <t>213.736.5101</t>
  </si>
  <si>
    <t>bbergman@b-alaw.com</t>
  </si>
  <si>
    <t>California Housing Partnership Corporation</t>
  </si>
  <si>
    <t xml:space="preserve">chorsford@chpc.net  </t>
  </si>
  <si>
    <t>‪(415) 433-6804</t>
  </si>
  <si>
    <t>Chad Horsford</t>
  </si>
  <si>
    <t>49 Stevenson Street, Suite 500</t>
  </si>
  <si>
    <t>San Francisco, CA 94105</t>
  </si>
  <si>
    <t>Treehouse Leimert Propco, LLC</t>
  </si>
  <si>
    <t>Authorized Signatory</t>
  </si>
  <si>
    <t>626 Wilshire Blvd, Ste 410, Los Angeles, CA 90017</t>
  </si>
  <si>
    <t>HCD Housing Development Fund</t>
  </si>
  <si>
    <t>TBD Gap Financing</t>
  </si>
  <si>
    <t>Citibank Tax-Exempt Construction Loan</t>
  </si>
  <si>
    <t>Citibank Taxable Construction Loan</t>
  </si>
  <si>
    <t>CMFA Recycled Bonds</t>
  </si>
  <si>
    <t>Costs Deferred Until Conversion</t>
  </si>
  <si>
    <t>Variable</t>
  </si>
  <si>
    <t>LP Equity</t>
  </si>
  <si>
    <t>Citibank Conventional Perm Loan</t>
  </si>
  <si>
    <t>Special inspections/testing</t>
  </si>
  <si>
    <t>Other: Owner legal</t>
  </si>
  <si>
    <t>Construction lender expenses</t>
  </si>
  <si>
    <t>Perm lender expenses</t>
  </si>
  <si>
    <t>Community outreach, security during construction, Start-up/lease-up expenses</t>
  </si>
  <si>
    <t>CDLAC and CDIAC fees</t>
  </si>
  <si>
    <t>300 South Grand Avenue, Suite 3110</t>
  </si>
  <si>
    <t>Los Angeles, CA 90071</t>
  </si>
  <si>
    <t>(213) 239-1914</t>
  </si>
  <si>
    <t>Hao Li</t>
  </si>
  <si>
    <t>construction</t>
  </si>
  <si>
    <t>construction and perm</t>
  </si>
  <si>
    <t>construction to perm</t>
  </si>
  <si>
    <t>SOFR</t>
  </si>
  <si>
    <t>2020 West El Camino Avenue</t>
  </si>
  <si>
    <t>Sacramento, CA 95833</t>
  </si>
  <si>
    <t>Gustavo Velasquez</t>
  </si>
  <si>
    <t>(800) 952-8356</t>
  </si>
  <si>
    <t>perm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</si>
</sst>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0" fontId="21" fillId="0" borderId="11" xfId="0" applyFont="1" applyBorder="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0" fillId="0" borderId="6" xfId="0" applyBorder="1" applyAlignment="1">
      <alignment horizontal="left"/>
    </xf>
    <xf numFmtId="0" fontId="23" fillId="5" borderId="4" xfId="0" applyFont="1" applyFill="1" applyBorder="1" applyAlignment="1" applyProtection="1">
      <alignment wrapText="1"/>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11" xfId="0" applyNumberFormat="1"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0" fillId="3" borderId="0" xfId="0" applyFont="1" applyFill="1" applyAlignment="1">
      <alignment horizontal="center" vertical="center"/>
    </xf>
    <xf numFmtId="0" fontId="14" fillId="5" borderId="4" xfId="0" applyFont="1" applyFill="1" applyBorder="1" applyAlignment="1" applyProtection="1">
      <alignment wrapText="1"/>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0" fillId="0" borderId="11" xfId="0" applyBorder="1" applyAlignment="1">
      <alignment horizontal="center"/>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0" borderId="11"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168" fontId="0" fillId="5" borderId="11" xfId="0" applyNumberFormat="1" applyFill="1" applyBorder="1" applyAlignment="1" applyProtection="1">
      <alignment horizontal="right"/>
      <protection locked="0"/>
    </xf>
    <xf numFmtId="0" fontId="23" fillId="0" borderId="3" xfId="0" applyFont="1" applyBorder="1" applyAlignment="1">
      <alignment horizontal="center"/>
    </xf>
    <xf numFmtId="0" fontId="23" fillId="0" borderId="5" xfId="0" applyFon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4" fillId="0" borderId="3" xfId="0" applyFont="1" applyBorder="1"/>
    <xf numFmtId="0" fontId="14" fillId="0" borderId="4" xfId="0" applyFont="1" applyBorder="1"/>
    <xf numFmtId="0" fontId="14" fillId="0" borderId="5" xfId="0" applyFont="1" applyBorder="1"/>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14"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left"/>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6" fontId="23" fillId="5" borderId="6"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0" borderId="6" xfId="0" applyFont="1" applyBorder="1" applyAlignment="1">
      <alignment horizontal="right"/>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4" xfId="0" applyFont="1" applyBorder="1" applyAlignment="1">
      <alignment horizontal="center"/>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1" fillId="0" borderId="0" xfId="0" applyFont="1" applyAlignment="1">
      <alignment horizontal="center" vertical="center"/>
    </xf>
    <xf numFmtId="0" fontId="0" fillId="5" borderId="3" xfId="0" applyFill="1" applyBorder="1" applyAlignment="1" applyProtection="1">
      <alignment horizontal="lef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14" fillId="5" borderId="5" xfId="0" applyFont="1" applyFill="1" applyBorder="1" applyAlignment="1" applyProtection="1">
      <alignment horizontal="left"/>
      <protection locked="0"/>
    </xf>
    <xf numFmtId="2" fontId="14" fillId="0" borderId="0" xfId="543" applyNumberFormat="1" applyAlignment="1">
      <alignment horizontal="center"/>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71" fontId="14" fillId="0" borderId="0" xfId="543" applyNumberFormat="1" applyAlignment="1">
      <alignment horizontal="right"/>
    </xf>
    <xf numFmtId="9" fontId="14" fillId="0" borderId="0" xfId="543" applyNumberFormat="1" applyAlignment="1">
      <alignment horizontal="center" vertic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168" fontId="23"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0" fontId="23" fillId="5" borderId="4" xfId="0" applyNumberFormat="1" applyFont="1" applyFill="1" applyBorder="1" applyAlignment="1" applyProtection="1">
      <alignment horizontal="right"/>
      <protection locked="0"/>
    </xf>
    <xf numFmtId="0" fontId="23" fillId="5" borderId="9" xfId="0" applyFont="1" applyFill="1" applyBorder="1" applyAlignment="1" applyProtection="1">
      <alignment horizontal="center"/>
      <protection locked="0"/>
    </xf>
    <xf numFmtId="0" fontId="21" fillId="0" borderId="9" xfId="0" applyFont="1" applyBorder="1" applyAlignment="1">
      <alignment horizontal="right"/>
    </xf>
    <xf numFmtId="0" fontId="21" fillId="0" borderId="10" xfId="0" applyFont="1" applyBorder="1" applyAlignment="1">
      <alignment horizontal="right"/>
    </xf>
    <xf numFmtId="0" fontId="14" fillId="43" borderId="4" xfId="0" applyFon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0" fontId="14" fillId="43" borderId="4" xfId="0" applyFont="1" applyFill="1" applyBorder="1" applyAlignment="1" applyProtection="1">
      <alignment horizontal="left" wrapText="1"/>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5" borderId="4" xfId="569"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8" fontId="14" fillId="0" borderId="6" xfId="0" applyNumberFormat="1" applyFont="1" applyBorder="1" applyAlignment="1">
      <alignment horizontal="center"/>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center"/>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23" fillId="5" borderId="4" xfId="271" applyNumberFormat="1" applyFill="1" applyBorder="1" applyAlignment="1" applyProtection="1">
      <alignment horizontal="left"/>
      <protection locked="0"/>
    </xf>
    <xf numFmtId="0" fontId="23" fillId="0" borderId="6" xfId="0" applyFont="1" applyBorder="1" applyAlignment="1">
      <alignment horizontal="left"/>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68" fontId="0" fillId="43" borderId="6"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3" fontId="23" fillId="5" borderId="11" xfId="0" applyNumberFormat="1" applyFon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5" xfId="0" applyBorder="1" applyAlignment="1">
      <alignment horizontal="left"/>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14" fillId="5" borderId="0" xfId="0" applyFont="1" applyFill="1" applyAlignment="1" applyProtection="1">
      <alignment horizontal="left" vertical="top" wrapText="1"/>
      <protection locked="0"/>
    </xf>
    <xf numFmtId="0" fontId="33"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9" xfId="0" applyFont="1" applyBorder="1" applyAlignment="1">
      <alignment horizontal="center"/>
    </xf>
    <xf numFmtId="0" fontId="21" fillId="0" borderId="10" xfId="0" applyFont="1" applyBorder="1" applyAlignment="1">
      <alignment horizontal="center"/>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72" fontId="0" fillId="5" borderId="6" xfId="0" applyNumberFormat="1" applyFill="1" applyBorder="1" applyAlignment="1" applyProtection="1">
      <alignment horizontal="center"/>
      <protection locked="0"/>
    </xf>
    <xf numFmtId="1" fontId="23" fillId="5" borderId="11" xfId="0" quotePrefix="1" applyNumberFormat="1" applyFont="1" applyFill="1" applyBorder="1" applyAlignment="1" applyProtection="1">
      <alignment horizontal="center"/>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4" fillId="5" borderId="6" xfId="569" applyFill="1" applyBorder="1" applyAlignment="1" applyProtection="1">
      <alignment horizontal="left"/>
      <protection locked="0"/>
    </xf>
    <xf numFmtId="166" fontId="14" fillId="5" borderId="6" xfId="569"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4B34B77A-ED79-4F93-88A2-872B163F0782}"/>
    <cellStyle name="20% - Accent1 11" xfId="8729" xr:uid="{305766C6-CCF4-44D5-BFC9-8A2207DAB8DE}"/>
    <cellStyle name="20% - Accent1 2" xfId="2" xr:uid="{00000000-0005-0000-0000-000002000000}"/>
    <cellStyle name="20% - Accent1 2 10" xfId="8730" xr:uid="{8CC6E92F-2E6D-413E-AC0D-C92471282F89}"/>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C4F79687-4EB8-474E-A2CF-908413F70ECB}"/>
    <cellStyle name="20% - Accent1 2 2 2 2 2 3" xfId="11291" xr:uid="{9CD5702A-575F-49D8-A9FB-645E56995006}"/>
    <cellStyle name="20% - Accent1 2 2 2 2 3" xfId="4922" xr:uid="{00000000-0005-0000-0000-000008000000}"/>
    <cellStyle name="20% - Accent1 2 2 2 2 3 2" xfId="13364" xr:uid="{83769B35-AA76-4C1A-9911-C4065FE0AFF3}"/>
    <cellStyle name="20% - Accent1 2 2 2 2 4" xfId="9146" xr:uid="{16A381CE-75AB-48D4-9BE0-C4C7356F22F3}"/>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47A33A7D-3883-4883-A168-F7798EBA0F28}"/>
    <cellStyle name="20% - Accent1 2 2 2 3 2 3" xfId="11704" xr:uid="{84627807-78E3-4C9C-95FB-8C85B7E2C553}"/>
    <cellStyle name="20% - Accent1 2 2 2 3 3" xfId="5335" xr:uid="{00000000-0005-0000-0000-00000C000000}"/>
    <cellStyle name="20% - Accent1 2 2 2 3 3 2" xfId="13777" xr:uid="{0187A7B5-E741-47C9-86B2-F7027CC038C6}"/>
    <cellStyle name="20% - Accent1 2 2 2 3 4" xfId="9559" xr:uid="{9EB413E2-4F7C-4976-8F9C-759B23D48BB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892751CD-B5B8-4BAA-A083-1B97484E360C}"/>
    <cellStyle name="20% - Accent1 2 2 2 4 2 3" xfId="12117" xr:uid="{D4991C9A-E80C-4423-ADD8-B1CD53C85023}"/>
    <cellStyle name="20% - Accent1 2 2 2 4 3" xfId="5748" xr:uid="{00000000-0005-0000-0000-000010000000}"/>
    <cellStyle name="20% - Accent1 2 2 2 4 3 2" xfId="14190" xr:uid="{2C66E7E8-2A7C-42C2-AC19-36B7AED94348}"/>
    <cellStyle name="20% - Accent1 2 2 2 4 4" xfId="9972" xr:uid="{81D4E1A0-AF6F-4F74-8174-601B5EBDC024}"/>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E74FA39D-DE96-4AF2-BC22-407AD81D9DE9}"/>
    <cellStyle name="20% - Accent1 2 2 2 5 2 3" xfId="12530" xr:uid="{7E50EC00-CDE6-4815-8D83-53D740DF4590}"/>
    <cellStyle name="20% - Accent1 2 2 2 5 3" xfId="6161" xr:uid="{00000000-0005-0000-0000-000014000000}"/>
    <cellStyle name="20% - Accent1 2 2 2 5 3 2" xfId="14603" xr:uid="{62B20658-F79A-4705-954A-564649E32495}"/>
    <cellStyle name="20% - Accent1 2 2 2 5 4" xfId="10385" xr:uid="{199993FA-C2CE-4CD2-837E-BEDF13A2DC56}"/>
    <cellStyle name="20% - Accent1 2 2 2 6" xfId="2267" xr:uid="{00000000-0005-0000-0000-000015000000}"/>
    <cellStyle name="20% - Accent1 2 2 2 6 2" xfId="6574" xr:uid="{00000000-0005-0000-0000-000016000000}"/>
    <cellStyle name="20% - Accent1 2 2 2 6 2 2" xfId="15016" xr:uid="{87027200-7E47-489D-8203-861E589C778C}"/>
    <cellStyle name="20% - Accent1 2 2 2 6 3" xfId="10798" xr:uid="{7531DF8B-310F-48B8-9322-56C309368AF4}"/>
    <cellStyle name="20% - Accent1 2 2 2 7" xfId="4508" xr:uid="{00000000-0005-0000-0000-000017000000}"/>
    <cellStyle name="20% - Accent1 2 2 2 7 2" xfId="12950" xr:uid="{739FDCD0-3071-42CD-8AFF-0A039EFA5E68}"/>
    <cellStyle name="20% - Accent1 2 2 2 8" xfId="8732" xr:uid="{0CDCAD7B-7D1B-4A56-8AEC-1DDFF2A86B73}"/>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2B3F5852-B815-480C-83E4-E68732C13ED8}"/>
    <cellStyle name="20% - Accent1 2 2 3 2 3" xfId="11290" xr:uid="{51C75A38-D217-44B7-9E23-89E1DAA6DABC}"/>
    <cellStyle name="20% - Accent1 2 2 3 3" xfId="4921" xr:uid="{00000000-0005-0000-0000-00001B000000}"/>
    <cellStyle name="20% - Accent1 2 2 3 3 2" xfId="13363" xr:uid="{BD2DC02F-04E4-4EC4-9DD7-59531F6C8D92}"/>
    <cellStyle name="20% - Accent1 2 2 3 4" xfId="9145" xr:uid="{FA8AE439-C29E-4930-BAA8-FFAE0FD4675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713D4877-6230-4791-9CCB-F31FE5FDFE42}"/>
    <cellStyle name="20% - Accent1 2 2 4 2 3" xfId="11703" xr:uid="{7BBD8550-E4E6-4709-A939-62AF988A6273}"/>
    <cellStyle name="20% - Accent1 2 2 4 3" xfId="5334" xr:uid="{00000000-0005-0000-0000-00001F000000}"/>
    <cellStyle name="20% - Accent1 2 2 4 3 2" xfId="13776" xr:uid="{A06E1EB9-72E1-48DD-9553-7E3FD649183B}"/>
    <cellStyle name="20% - Accent1 2 2 4 4" xfId="9558" xr:uid="{1D609F94-C7F8-4DCD-9B44-75615147616C}"/>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4D33D5E2-3215-41F8-B778-761D3D1292B7}"/>
    <cellStyle name="20% - Accent1 2 2 5 2 3" xfId="12116" xr:uid="{2DBE530C-0DB4-4468-9A47-BF8348D142B3}"/>
    <cellStyle name="20% - Accent1 2 2 5 3" xfId="5747" xr:uid="{00000000-0005-0000-0000-000023000000}"/>
    <cellStyle name="20% - Accent1 2 2 5 3 2" xfId="14189" xr:uid="{F503CCED-E397-47CE-B9C3-AB9C25C28C7D}"/>
    <cellStyle name="20% - Accent1 2 2 5 4" xfId="9971" xr:uid="{04EC7AB9-0D24-4CA5-87C5-6ACFEEE8EFF9}"/>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383FF050-40AF-4C86-8F11-F13FCB17CD8B}"/>
    <cellStyle name="20% - Accent1 2 2 6 2 3" xfId="12529" xr:uid="{418A7EB9-2468-45B3-98DE-CC74F38F95BE}"/>
    <cellStyle name="20% - Accent1 2 2 6 3" xfId="6160" xr:uid="{00000000-0005-0000-0000-000027000000}"/>
    <cellStyle name="20% - Accent1 2 2 6 3 2" xfId="14602" xr:uid="{867DA78B-DC94-4E58-9B0C-AF360EBD0670}"/>
    <cellStyle name="20% - Accent1 2 2 6 4" xfId="10384" xr:uid="{B4E70E90-81EA-4C6C-B91C-48B7129C795B}"/>
    <cellStyle name="20% - Accent1 2 2 7" xfId="2266" xr:uid="{00000000-0005-0000-0000-000028000000}"/>
    <cellStyle name="20% - Accent1 2 2 7 2" xfId="6573" xr:uid="{00000000-0005-0000-0000-000029000000}"/>
    <cellStyle name="20% - Accent1 2 2 7 2 2" xfId="15015" xr:uid="{9E453BF8-37EC-4D4A-8486-414DCA3972A3}"/>
    <cellStyle name="20% - Accent1 2 2 7 3" xfId="10797" xr:uid="{9DFB9BD2-84B2-480E-A00D-447E6BFF73A9}"/>
    <cellStyle name="20% - Accent1 2 2 8" xfId="4507" xr:uid="{00000000-0005-0000-0000-00002A000000}"/>
    <cellStyle name="20% - Accent1 2 2 8 2" xfId="12949" xr:uid="{42830783-9461-4F71-B58B-EBB6C7082583}"/>
    <cellStyle name="20% - Accent1 2 2 9" xfId="8731" xr:uid="{D25A82B7-3FB9-4056-92A2-E1E3136A4F69}"/>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15F42D1B-50A7-4558-AF3C-BD5BCB70F697}"/>
    <cellStyle name="20% - Accent1 2 3 2 2 3" xfId="11292" xr:uid="{6B6D9215-57AA-4390-8EFA-ADF106286B87}"/>
    <cellStyle name="20% - Accent1 2 3 2 3" xfId="4923" xr:uid="{00000000-0005-0000-0000-00002F000000}"/>
    <cellStyle name="20% - Accent1 2 3 2 3 2" xfId="13365" xr:uid="{AA821C46-D72D-48C2-A3B8-83C4AEB6CBD9}"/>
    <cellStyle name="20% - Accent1 2 3 2 4" xfId="9147" xr:uid="{B01CBFAA-60BB-499A-A548-3F34834B4C11}"/>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F4F22D7D-BD76-4179-B9AA-BB43B3F13788}"/>
    <cellStyle name="20% - Accent1 2 3 3 2 3" xfId="11705" xr:uid="{AF462353-294F-4FEA-AC19-7E6EA5185E70}"/>
    <cellStyle name="20% - Accent1 2 3 3 3" xfId="5336" xr:uid="{00000000-0005-0000-0000-000033000000}"/>
    <cellStyle name="20% - Accent1 2 3 3 3 2" xfId="13778" xr:uid="{EE120D4D-5822-45C8-A3D7-F795CA38637D}"/>
    <cellStyle name="20% - Accent1 2 3 3 4" xfId="9560" xr:uid="{7999728A-5AAF-4D9D-84CC-7BACC384E89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288C9718-79C8-446C-9DA3-AEB89B6A6FBC}"/>
    <cellStyle name="20% - Accent1 2 3 4 2 3" xfId="12118" xr:uid="{45D75F41-6DD6-46E4-A5DC-E213E65C4968}"/>
    <cellStyle name="20% - Accent1 2 3 4 3" xfId="5749" xr:uid="{00000000-0005-0000-0000-000037000000}"/>
    <cellStyle name="20% - Accent1 2 3 4 3 2" xfId="14191" xr:uid="{6B728E21-47C3-4D49-B4D1-2CD391747DCF}"/>
    <cellStyle name="20% - Accent1 2 3 4 4" xfId="9973" xr:uid="{326F7B21-35C5-4AC8-94E5-DAD6D3946D0E}"/>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D4D0DCCA-AD5C-4BA3-9F1A-ABF68B4D4128}"/>
    <cellStyle name="20% - Accent1 2 3 5 2 3" xfId="12531" xr:uid="{E8E25864-C02B-4DCD-A429-37B87DD1E28F}"/>
    <cellStyle name="20% - Accent1 2 3 5 3" xfId="6162" xr:uid="{00000000-0005-0000-0000-00003B000000}"/>
    <cellStyle name="20% - Accent1 2 3 5 3 2" xfId="14604" xr:uid="{1AE26EA0-A633-481C-82D1-C3941CBA168E}"/>
    <cellStyle name="20% - Accent1 2 3 5 4" xfId="10386" xr:uid="{7DC8BF67-3F2F-4CD7-AE66-258C7D0002F1}"/>
    <cellStyle name="20% - Accent1 2 3 6" xfId="2268" xr:uid="{00000000-0005-0000-0000-00003C000000}"/>
    <cellStyle name="20% - Accent1 2 3 6 2" xfId="6575" xr:uid="{00000000-0005-0000-0000-00003D000000}"/>
    <cellStyle name="20% - Accent1 2 3 6 2 2" xfId="15017" xr:uid="{03950AA6-15A4-4DB8-821D-E2FBC956C5FE}"/>
    <cellStyle name="20% - Accent1 2 3 6 3" xfId="10799" xr:uid="{190BE30E-E83A-46FF-AFAD-DCB285AA5A4E}"/>
    <cellStyle name="20% - Accent1 2 3 7" xfId="4509" xr:uid="{00000000-0005-0000-0000-00003E000000}"/>
    <cellStyle name="20% - Accent1 2 3 7 2" xfId="12951" xr:uid="{D6DD6B87-EC4C-41B3-AA09-58A41EDE08C4}"/>
    <cellStyle name="20% - Accent1 2 3 8" xfId="8733" xr:uid="{5A843355-B6A7-4767-834D-93B9F0F3734F}"/>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C1C5F9E1-C68D-4410-AB00-00A30C6DC52F}"/>
    <cellStyle name="20% - Accent1 2 4 2 3" xfId="11289" xr:uid="{C3909C9A-98A8-4A65-ACD9-22150512BAB6}"/>
    <cellStyle name="20% - Accent1 2 4 3" xfId="4920" xr:uid="{00000000-0005-0000-0000-000042000000}"/>
    <cellStyle name="20% - Accent1 2 4 3 2" xfId="13362" xr:uid="{D532582D-6DE6-42FD-A79D-3D7236B70702}"/>
    <cellStyle name="20% - Accent1 2 4 4" xfId="9144" xr:uid="{7647AAF9-33E8-4E3D-8388-AE5745B91E4F}"/>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03ED1E9F-A281-4DD9-AF32-C79D3DEFE6FC}"/>
    <cellStyle name="20% - Accent1 2 5 2 3" xfId="11702" xr:uid="{F6A7240B-591E-4731-97DB-15EDCD266DA3}"/>
    <cellStyle name="20% - Accent1 2 5 3" xfId="5333" xr:uid="{00000000-0005-0000-0000-000046000000}"/>
    <cellStyle name="20% - Accent1 2 5 3 2" xfId="13775" xr:uid="{36A7AE38-C94C-4505-BB2F-27852381BE69}"/>
    <cellStyle name="20% - Accent1 2 5 4" xfId="9557" xr:uid="{237609BD-D199-4F16-ADAC-ACDAA81FD40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07F2634A-BF1B-49CD-86E9-9FBCD54E14C8}"/>
    <cellStyle name="20% - Accent1 2 6 2 3" xfId="12115" xr:uid="{B3F476EF-F8BA-40A7-BA35-F424DBFC313B}"/>
    <cellStyle name="20% - Accent1 2 6 3" xfId="5746" xr:uid="{00000000-0005-0000-0000-00004A000000}"/>
    <cellStyle name="20% - Accent1 2 6 3 2" xfId="14188" xr:uid="{DEFF862C-6173-4255-BE59-1E06432F799F}"/>
    <cellStyle name="20% - Accent1 2 6 4" xfId="9970" xr:uid="{6E666065-2757-4386-8ADB-D0955D682B8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C03FBD67-5E59-4704-82A6-20AE22DC87A7}"/>
    <cellStyle name="20% - Accent1 2 7 2 3" xfId="12528" xr:uid="{1B2A2148-2836-447F-B66D-0A49C248CC86}"/>
    <cellStyle name="20% - Accent1 2 7 3" xfId="6159" xr:uid="{00000000-0005-0000-0000-00004E000000}"/>
    <cellStyle name="20% - Accent1 2 7 3 2" xfId="14601" xr:uid="{D940467D-0581-4E67-A5C6-CF192B694E84}"/>
    <cellStyle name="20% - Accent1 2 7 4" xfId="10383" xr:uid="{B95A7475-0028-4758-B168-1ABC488AC009}"/>
    <cellStyle name="20% - Accent1 2 8" xfId="2265" xr:uid="{00000000-0005-0000-0000-00004F000000}"/>
    <cellStyle name="20% - Accent1 2 8 2" xfId="6572" xr:uid="{00000000-0005-0000-0000-000050000000}"/>
    <cellStyle name="20% - Accent1 2 8 2 2" xfId="15014" xr:uid="{12607789-5410-439F-8938-58BF8A792B51}"/>
    <cellStyle name="20% - Accent1 2 8 3" xfId="10796" xr:uid="{B6ABC5B0-A342-4D8E-8BD7-E0060E49669A}"/>
    <cellStyle name="20% - Accent1 2 9" xfId="4506" xr:uid="{00000000-0005-0000-0000-000051000000}"/>
    <cellStyle name="20% - Accent1 2 9 2" xfId="12948" xr:uid="{2FD7BB06-6F66-42DF-8B7C-A31EF78B5711}"/>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ADFEE441-EA8B-4802-A79C-9F32B9592F9A}"/>
    <cellStyle name="20% - Accent1 3 2 2 2 3" xfId="11294" xr:uid="{74239F72-36D1-4DFC-A499-1E143D3166E6}"/>
    <cellStyle name="20% - Accent1 3 2 2 3" xfId="4925" xr:uid="{00000000-0005-0000-0000-000057000000}"/>
    <cellStyle name="20% - Accent1 3 2 2 3 2" xfId="13367" xr:uid="{1601E054-3912-4AD2-87C8-CC55758CB870}"/>
    <cellStyle name="20% - Accent1 3 2 2 4" xfId="9149" xr:uid="{77B4F3C9-7F4C-40D5-9F85-77C75FB13D3C}"/>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8C786247-D555-4CD3-B2C7-0FCE4C16FCC2}"/>
    <cellStyle name="20% - Accent1 3 2 3 2 3" xfId="11707" xr:uid="{77768FF7-A667-4808-9888-F5EC1EC5CBAB}"/>
    <cellStyle name="20% - Accent1 3 2 3 3" xfId="5338" xr:uid="{00000000-0005-0000-0000-00005B000000}"/>
    <cellStyle name="20% - Accent1 3 2 3 3 2" xfId="13780" xr:uid="{9EE47EF3-A96A-486A-BAA8-79DDF643CAAB}"/>
    <cellStyle name="20% - Accent1 3 2 3 4" xfId="9562" xr:uid="{5CADE28E-7D0C-48AF-B8DE-D334E2D4D66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0A671644-03EA-4C70-8778-7FB5E9F92C20}"/>
    <cellStyle name="20% - Accent1 3 2 4 2 3" xfId="12120" xr:uid="{144BEE35-AEB3-4B78-91EB-4BB109FFD06F}"/>
    <cellStyle name="20% - Accent1 3 2 4 3" xfId="5751" xr:uid="{00000000-0005-0000-0000-00005F000000}"/>
    <cellStyle name="20% - Accent1 3 2 4 3 2" xfId="14193" xr:uid="{C7DDDC66-8154-4EDF-93C4-129EABB9E8D9}"/>
    <cellStyle name="20% - Accent1 3 2 4 4" xfId="9975" xr:uid="{2FD20881-2D1F-4991-BB69-DB5CB2BCF73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00B2A04E-3698-45F7-A44D-C83BBD531CEC}"/>
    <cellStyle name="20% - Accent1 3 2 5 2 3" xfId="12533" xr:uid="{EC9D24C6-3C78-4DF1-8F3C-658047042931}"/>
    <cellStyle name="20% - Accent1 3 2 5 3" xfId="6164" xr:uid="{00000000-0005-0000-0000-000063000000}"/>
    <cellStyle name="20% - Accent1 3 2 5 3 2" xfId="14606" xr:uid="{25EA53D5-4D72-4D09-9E05-C979B7065EC0}"/>
    <cellStyle name="20% - Accent1 3 2 5 4" xfId="10388" xr:uid="{B1CDFBAD-B629-48F1-A23F-D21C6DA7664B}"/>
    <cellStyle name="20% - Accent1 3 2 6" xfId="2270" xr:uid="{00000000-0005-0000-0000-000064000000}"/>
    <cellStyle name="20% - Accent1 3 2 6 2" xfId="6577" xr:uid="{00000000-0005-0000-0000-000065000000}"/>
    <cellStyle name="20% - Accent1 3 2 6 2 2" xfId="15019" xr:uid="{C0C6B4E3-D3D7-4F91-BD0E-5BC9988DD9B7}"/>
    <cellStyle name="20% - Accent1 3 2 6 3" xfId="10801" xr:uid="{95790C1F-05AD-428E-A77D-25FE1C623EF3}"/>
    <cellStyle name="20% - Accent1 3 2 7" xfId="4511" xr:uid="{00000000-0005-0000-0000-000066000000}"/>
    <cellStyle name="20% - Accent1 3 2 7 2" xfId="12953" xr:uid="{644DE2D6-56CF-46E6-B1E5-F4EDC9543ED5}"/>
    <cellStyle name="20% - Accent1 3 2 8" xfId="8735" xr:uid="{FB3375D2-8536-4866-8EB7-411D7FA06F69}"/>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E3DD661F-ECED-447F-8999-C30D7C999FC5}"/>
    <cellStyle name="20% - Accent1 3 3 2 3" xfId="11293" xr:uid="{E2769F7C-B1A0-4886-A2F5-9E27182B9835}"/>
    <cellStyle name="20% - Accent1 3 3 3" xfId="4924" xr:uid="{00000000-0005-0000-0000-00006A000000}"/>
    <cellStyle name="20% - Accent1 3 3 3 2" xfId="13366" xr:uid="{A3397B6B-BEF3-4B0C-BBD7-507755B546C2}"/>
    <cellStyle name="20% - Accent1 3 3 4" xfId="9148" xr:uid="{D5601748-10B7-4FBE-B850-F4E2FDA3671D}"/>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2037F99F-3051-4A42-814A-B52A00CC76DB}"/>
    <cellStyle name="20% - Accent1 3 4 2 3" xfId="11706" xr:uid="{4F69C244-A56C-4F4D-B825-96E08CE3E7B7}"/>
    <cellStyle name="20% - Accent1 3 4 3" xfId="5337" xr:uid="{00000000-0005-0000-0000-00006E000000}"/>
    <cellStyle name="20% - Accent1 3 4 3 2" xfId="13779" xr:uid="{D04A9D7B-7CE6-49E9-995C-10777EE9A2A9}"/>
    <cellStyle name="20% - Accent1 3 4 4" xfId="9561" xr:uid="{4BB507CF-70EE-48C4-B4B9-632350899131}"/>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02483552-08D3-40D2-9E11-8A49F92BABDD}"/>
    <cellStyle name="20% - Accent1 3 5 2 3" xfId="12119" xr:uid="{795DB757-4E1A-4F60-A2DA-AE25EEDF27E9}"/>
    <cellStyle name="20% - Accent1 3 5 3" xfId="5750" xr:uid="{00000000-0005-0000-0000-000072000000}"/>
    <cellStyle name="20% - Accent1 3 5 3 2" xfId="14192" xr:uid="{FDB7455D-B773-4197-A014-A075ABA0D59A}"/>
    <cellStyle name="20% - Accent1 3 5 4" xfId="9974" xr:uid="{A90377B4-7553-452C-AC06-4AA0F718D48D}"/>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989FB082-9F2C-4399-9065-4CC250C4C20F}"/>
    <cellStyle name="20% - Accent1 3 6 2 3" xfId="12532" xr:uid="{C3C08727-D90F-4FEA-AE2D-E9881B28ACFB}"/>
    <cellStyle name="20% - Accent1 3 6 3" xfId="6163" xr:uid="{00000000-0005-0000-0000-000076000000}"/>
    <cellStyle name="20% - Accent1 3 6 3 2" xfId="14605" xr:uid="{82183C44-D896-46A0-8405-AC6AB31EEF05}"/>
    <cellStyle name="20% - Accent1 3 6 4" xfId="10387" xr:uid="{855E04A7-096F-4386-89A4-6CB83F4362F8}"/>
    <cellStyle name="20% - Accent1 3 7" xfId="2269" xr:uid="{00000000-0005-0000-0000-000077000000}"/>
    <cellStyle name="20% - Accent1 3 7 2" xfId="6576" xr:uid="{00000000-0005-0000-0000-000078000000}"/>
    <cellStyle name="20% - Accent1 3 7 2 2" xfId="15018" xr:uid="{253CD891-110B-464E-B805-5421CE1F4533}"/>
    <cellStyle name="20% - Accent1 3 7 3" xfId="10800" xr:uid="{02FC00A3-4842-4397-AEEF-3554877DFF8F}"/>
    <cellStyle name="20% - Accent1 3 8" xfId="4510" xr:uid="{00000000-0005-0000-0000-000079000000}"/>
    <cellStyle name="20% - Accent1 3 8 2" xfId="12952" xr:uid="{9932EF5C-9DD5-40B0-98D1-594636576607}"/>
    <cellStyle name="20% - Accent1 3 9" xfId="8734" xr:uid="{66FCA4D1-9010-4825-BAF1-0779C724C816}"/>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BCD0E5D3-12EC-4C68-81BC-1E8877B36C83}"/>
    <cellStyle name="20% - Accent1 4 2 2 3" xfId="11295" xr:uid="{95C92FDA-3619-4B34-8DF7-A88B61FE7510}"/>
    <cellStyle name="20% - Accent1 4 2 3" xfId="4926" xr:uid="{00000000-0005-0000-0000-00007E000000}"/>
    <cellStyle name="20% - Accent1 4 2 3 2" xfId="13368" xr:uid="{30CA6BBF-3EDB-45A5-A5B8-FD45D0877124}"/>
    <cellStyle name="20% - Accent1 4 2 4" xfId="9150" xr:uid="{F6CEBBF9-3982-4D0C-A452-8BDB38F4332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A7A33F10-B1B3-4BD3-A7E3-721DFE45E7AD}"/>
    <cellStyle name="20% - Accent1 4 3 2 3" xfId="11708" xr:uid="{480BAE19-2D7E-4F05-9078-FAF8C781A49C}"/>
    <cellStyle name="20% - Accent1 4 3 3" xfId="5339" xr:uid="{00000000-0005-0000-0000-000082000000}"/>
    <cellStyle name="20% - Accent1 4 3 3 2" xfId="13781" xr:uid="{5F413827-3D2A-4E7F-9EFB-4D1B02BCA243}"/>
    <cellStyle name="20% - Accent1 4 3 4" xfId="9563" xr:uid="{4CC7B21F-559A-4E74-90BC-3C734C863B8B}"/>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F8E8C5DB-3313-4353-9F69-10B6BAF7A687}"/>
    <cellStyle name="20% - Accent1 4 4 2 3" xfId="12121" xr:uid="{961D9BBF-6520-409E-A204-D88A41801AF2}"/>
    <cellStyle name="20% - Accent1 4 4 3" xfId="5752" xr:uid="{00000000-0005-0000-0000-000086000000}"/>
    <cellStyle name="20% - Accent1 4 4 3 2" xfId="14194" xr:uid="{CBF75711-053C-447F-A66A-93EBCD8FA940}"/>
    <cellStyle name="20% - Accent1 4 4 4" xfId="9976" xr:uid="{E08A21FE-00B3-4096-86FB-11B69E3C10BE}"/>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58710614-A0AB-4BFD-9934-7EEAD6AF77DF}"/>
    <cellStyle name="20% - Accent1 4 5 2 3" xfId="12534" xr:uid="{282F596F-851E-4345-BC18-2730922BF510}"/>
    <cellStyle name="20% - Accent1 4 5 3" xfId="6165" xr:uid="{00000000-0005-0000-0000-00008A000000}"/>
    <cellStyle name="20% - Accent1 4 5 3 2" xfId="14607" xr:uid="{92F895F2-83C7-44DC-80C9-91EE994D8FC7}"/>
    <cellStyle name="20% - Accent1 4 5 4" xfId="10389" xr:uid="{10938C7E-BB74-47EA-BEA2-09E764273BD0}"/>
    <cellStyle name="20% - Accent1 4 6" xfId="2271" xr:uid="{00000000-0005-0000-0000-00008B000000}"/>
    <cellStyle name="20% - Accent1 4 6 2" xfId="6578" xr:uid="{00000000-0005-0000-0000-00008C000000}"/>
    <cellStyle name="20% - Accent1 4 6 2 2" xfId="15020" xr:uid="{CFFE4A02-C921-4707-ADB2-FF271DABE1EC}"/>
    <cellStyle name="20% - Accent1 4 6 3" xfId="10802" xr:uid="{888A38FC-0B89-4244-92F5-6C0ED8EDEA27}"/>
    <cellStyle name="20% - Accent1 4 7" xfId="4512" xr:uid="{00000000-0005-0000-0000-00008D000000}"/>
    <cellStyle name="20% - Accent1 4 7 2" xfId="12954" xr:uid="{90B58948-64B6-497E-968A-1E3B76BBCCA8}"/>
    <cellStyle name="20% - Accent1 4 8" xfId="8736" xr:uid="{C8D59A7D-E07A-4E86-84C8-1311B4D3C224}"/>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F632FCB-BD9A-444F-AE65-CC558EB03E41}"/>
    <cellStyle name="20% - Accent1 5 2 3" xfId="11288" xr:uid="{E9D092DC-307E-47BB-9F46-3DA373779252}"/>
    <cellStyle name="20% - Accent1 5 3" xfId="4919" xr:uid="{00000000-0005-0000-0000-000091000000}"/>
    <cellStyle name="20% - Accent1 5 3 2" xfId="13361" xr:uid="{BADC84A1-F536-48CE-A0B4-61EEEB3805C4}"/>
    <cellStyle name="20% - Accent1 5 4" xfId="9143" xr:uid="{5156B144-0659-40A4-8BC1-3A9AE743176A}"/>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3530D9C6-1CD6-41F0-B092-C024334885E6}"/>
    <cellStyle name="20% - Accent1 6 2 3" xfId="11701" xr:uid="{88362C49-93FD-4F8E-A65E-8AAAA45BC9F6}"/>
    <cellStyle name="20% - Accent1 6 3" xfId="5332" xr:uid="{00000000-0005-0000-0000-000095000000}"/>
    <cellStyle name="20% - Accent1 6 3 2" xfId="13774" xr:uid="{03921CC7-3F68-4EFA-8902-9FCB71302684}"/>
    <cellStyle name="20% - Accent1 6 4" xfId="9556" xr:uid="{147587A8-A54C-4EB1-922E-1C0B9E3C2B91}"/>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91F4471F-0D21-42DD-B2A2-D09D27BBC680}"/>
    <cellStyle name="20% - Accent1 7 2 3" xfId="12114" xr:uid="{6ED5F57B-6B34-443A-AB17-6DA8D941827E}"/>
    <cellStyle name="20% - Accent1 7 3" xfId="5745" xr:uid="{00000000-0005-0000-0000-000099000000}"/>
    <cellStyle name="20% - Accent1 7 3 2" xfId="14187" xr:uid="{639B9256-5A8E-4491-BC98-68061536E2DE}"/>
    <cellStyle name="20% - Accent1 7 4" xfId="9969" xr:uid="{3F92AC44-CA59-4AD3-BBF8-C339F388B27D}"/>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CA1D2030-67BB-429C-B1EE-0F868241F774}"/>
    <cellStyle name="20% - Accent1 8 2 3" xfId="12527" xr:uid="{D7846C23-5AA6-4DB9-BC0D-FD6C5B907BAD}"/>
    <cellStyle name="20% - Accent1 8 3" xfId="6158" xr:uid="{00000000-0005-0000-0000-00009D000000}"/>
    <cellStyle name="20% - Accent1 8 3 2" xfId="14600" xr:uid="{85DA194F-34C3-4ADB-91A5-ECBD34ED1C81}"/>
    <cellStyle name="20% - Accent1 8 4" xfId="10382" xr:uid="{1CD2AE97-B4D1-49C2-9F3F-CA0A99171EF7}"/>
    <cellStyle name="20% - Accent1 9" xfId="2264" xr:uid="{00000000-0005-0000-0000-00009E000000}"/>
    <cellStyle name="20% - Accent1 9 2" xfId="6571" xr:uid="{00000000-0005-0000-0000-00009F000000}"/>
    <cellStyle name="20% - Accent1 9 2 2" xfId="15013" xr:uid="{5F752941-2D05-4829-B39A-77038047B151}"/>
    <cellStyle name="20% - Accent1 9 3" xfId="10795" xr:uid="{E7AE07C2-2655-4B57-9685-7740D181F9AF}"/>
    <cellStyle name="20% - Accent2" xfId="9" builtinId="34" customBuiltin="1"/>
    <cellStyle name="20% - Accent2 10" xfId="4513" xr:uid="{00000000-0005-0000-0000-0000A1000000}"/>
    <cellStyle name="20% - Accent2 10 2" xfId="12955" xr:uid="{EFA45926-1000-474B-B2D5-33AE1072908E}"/>
    <cellStyle name="20% - Accent2 11" xfId="8737" xr:uid="{7E68824A-6245-4A8A-BD7F-20D032B87A32}"/>
    <cellStyle name="20% - Accent2 2" xfId="10" xr:uid="{00000000-0005-0000-0000-0000A2000000}"/>
    <cellStyle name="20% - Accent2 2 10" xfId="8738" xr:uid="{2B635314-39B5-4459-A3A1-E498BB37CED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A39F6A2A-38C9-4550-93B0-823A3097EADE}"/>
    <cellStyle name="20% - Accent2 2 2 2 2 2 3" xfId="11299" xr:uid="{2A7105F8-D5FE-41ED-9BB1-3338B70BBDF4}"/>
    <cellStyle name="20% - Accent2 2 2 2 2 3" xfId="4930" xr:uid="{00000000-0005-0000-0000-0000A8000000}"/>
    <cellStyle name="20% - Accent2 2 2 2 2 3 2" xfId="13372" xr:uid="{94736B88-556E-4FDD-885C-6A1D5C26686A}"/>
    <cellStyle name="20% - Accent2 2 2 2 2 4" xfId="9154" xr:uid="{58044AF0-B18F-4F32-92E9-8798E2FC1813}"/>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AE676BB9-7803-4CB9-87E3-3823F48F9D74}"/>
    <cellStyle name="20% - Accent2 2 2 2 3 2 3" xfId="11712" xr:uid="{14F43995-8ED3-4AB2-BC11-6FA37129A99C}"/>
    <cellStyle name="20% - Accent2 2 2 2 3 3" xfId="5343" xr:uid="{00000000-0005-0000-0000-0000AC000000}"/>
    <cellStyle name="20% - Accent2 2 2 2 3 3 2" xfId="13785" xr:uid="{32801CBB-532F-4118-BB7C-5762F407D352}"/>
    <cellStyle name="20% - Accent2 2 2 2 3 4" xfId="9567" xr:uid="{3176115A-DA7B-405A-809B-EAE1F83AC303}"/>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D220C699-F78B-418D-A377-626089486439}"/>
    <cellStyle name="20% - Accent2 2 2 2 4 2 3" xfId="12125" xr:uid="{3F0B380E-DE2B-42FE-8ABE-2879B9219BEF}"/>
    <cellStyle name="20% - Accent2 2 2 2 4 3" xfId="5756" xr:uid="{00000000-0005-0000-0000-0000B0000000}"/>
    <cellStyle name="20% - Accent2 2 2 2 4 3 2" xfId="14198" xr:uid="{EBA66400-A0C0-4850-B631-D2D4094740E4}"/>
    <cellStyle name="20% - Accent2 2 2 2 4 4" xfId="9980" xr:uid="{711A8049-A89C-4DCA-8AA8-32AD33005C15}"/>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BEDC1642-FCAB-4B5F-8784-805A0A080227}"/>
    <cellStyle name="20% - Accent2 2 2 2 5 2 3" xfId="12538" xr:uid="{E9634EF2-F56F-4E2A-B6C9-C5756CD36AC9}"/>
    <cellStyle name="20% - Accent2 2 2 2 5 3" xfId="6169" xr:uid="{00000000-0005-0000-0000-0000B4000000}"/>
    <cellStyle name="20% - Accent2 2 2 2 5 3 2" xfId="14611" xr:uid="{A1B96C49-E011-4B7D-A333-735C09CDDED1}"/>
    <cellStyle name="20% - Accent2 2 2 2 5 4" xfId="10393" xr:uid="{3826A06E-7353-490C-89A8-B497E455535D}"/>
    <cellStyle name="20% - Accent2 2 2 2 6" xfId="2275" xr:uid="{00000000-0005-0000-0000-0000B5000000}"/>
    <cellStyle name="20% - Accent2 2 2 2 6 2" xfId="6582" xr:uid="{00000000-0005-0000-0000-0000B6000000}"/>
    <cellStyle name="20% - Accent2 2 2 2 6 2 2" xfId="15024" xr:uid="{8FD837BB-E197-4714-991E-135D8613ADA3}"/>
    <cellStyle name="20% - Accent2 2 2 2 6 3" xfId="10806" xr:uid="{55DF0F17-BCD2-4078-98A5-8E4475B4B9DB}"/>
    <cellStyle name="20% - Accent2 2 2 2 7" xfId="4516" xr:uid="{00000000-0005-0000-0000-0000B7000000}"/>
    <cellStyle name="20% - Accent2 2 2 2 7 2" xfId="12958" xr:uid="{C36FCE62-7BDB-4DB0-9547-85A8891795BB}"/>
    <cellStyle name="20% - Accent2 2 2 2 8" xfId="8740" xr:uid="{C950EB8C-EA3F-4D55-B906-B993B744D518}"/>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F9CFB229-40D0-449C-9C60-4938496268C9}"/>
    <cellStyle name="20% - Accent2 2 2 3 2 3" xfId="11298" xr:uid="{B01B5C60-70F4-4B84-B242-B1FEA7792E26}"/>
    <cellStyle name="20% - Accent2 2 2 3 3" xfId="4929" xr:uid="{00000000-0005-0000-0000-0000BB000000}"/>
    <cellStyle name="20% - Accent2 2 2 3 3 2" xfId="13371" xr:uid="{9B4480B9-366D-4426-B4D9-F4A5C894110A}"/>
    <cellStyle name="20% - Accent2 2 2 3 4" xfId="9153" xr:uid="{F2CF9152-47C6-4F31-9F20-6B47C551B071}"/>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A6AD6F81-9ACC-4F7B-AD80-CA5294175FF0}"/>
    <cellStyle name="20% - Accent2 2 2 4 2 3" xfId="11711" xr:uid="{1CCFC6B9-8C0C-45B7-A376-74733E81186E}"/>
    <cellStyle name="20% - Accent2 2 2 4 3" xfId="5342" xr:uid="{00000000-0005-0000-0000-0000BF000000}"/>
    <cellStyle name="20% - Accent2 2 2 4 3 2" xfId="13784" xr:uid="{08467814-BA53-43CF-8529-9144B6C52906}"/>
    <cellStyle name="20% - Accent2 2 2 4 4" xfId="9566" xr:uid="{D925B66F-5CED-40B8-824A-7E4782D63973}"/>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D2571ACD-3D84-4C26-8D02-04F251DAF7DB}"/>
    <cellStyle name="20% - Accent2 2 2 5 2 3" xfId="12124" xr:uid="{0E734428-0F2D-401A-B9C8-715A85A0F984}"/>
    <cellStyle name="20% - Accent2 2 2 5 3" xfId="5755" xr:uid="{00000000-0005-0000-0000-0000C3000000}"/>
    <cellStyle name="20% - Accent2 2 2 5 3 2" xfId="14197" xr:uid="{269B3773-830C-4597-9219-1127B76EA7DA}"/>
    <cellStyle name="20% - Accent2 2 2 5 4" xfId="9979" xr:uid="{3FE2A8FA-0D8B-498A-8DEB-A72E2DAB626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275634DA-83E2-4AD8-9449-D9715955232A}"/>
    <cellStyle name="20% - Accent2 2 2 6 2 3" xfId="12537" xr:uid="{FFC29AA9-B196-4AA7-9967-9D36C03EA3EA}"/>
    <cellStyle name="20% - Accent2 2 2 6 3" xfId="6168" xr:uid="{00000000-0005-0000-0000-0000C7000000}"/>
    <cellStyle name="20% - Accent2 2 2 6 3 2" xfId="14610" xr:uid="{A75D0301-9D83-4AA9-B6E1-2ACE7B730444}"/>
    <cellStyle name="20% - Accent2 2 2 6 4" xfId="10392" xr:uid="{FE3A8432-04F6-472C-B8CE-63B6D6A5FD6F}"/>
    <cellStyle name="20% - Accent2 2 2 7" xfId="2274" xr:uid="{00000000-0005-0000-0000-0000C8000000}"/>
    <cellStyle name="20% - Accent2 2 2 7 2" xfId="6581" xr:uid="{00000000-0005-0000-0000-0000C9000000}"/>
    <cellStyle name="20% - Accent2 2 2 7 2 2" xfId="15023" xr:uid="{88A15084-26B8-41F5-B38B-7A8E75F74447}"/>
    <cellStyle name="20% - Accent2 2 2 7 3" xfId="10805" xr:uid="{8035E464-F725-47CF-9945-0E24C4B2E447}"/>
    <cellStyle name="20% - Accent2 2 2 8" xfId="4515" xr:uid="{00000000-0005-0000-0000-0000CA000000}"/>
    <cellStyle name="20% - Accent2 2 2 8 2" xfId="12957" xr:uid="{E35AF29B-C360-4FB4-93CB-87C066EE4126}"/>
    <cellStyle name="20% - Accent2 2 2 9" xfId="8739" xr:uid="{58CCE1F9-5751-4052-8A0C-17197F5D4715}"/>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BFD13BBE-1B24-45C1-A4F9-E6D4D198329E}"/>
    <cellStyle name="20% - Accent2 2 3 2 2 3" xfId="11300" xr:uid="{0712073C-2C54-40DB-AD97-B8D1EDEB5C0D}"/>
    <cellStyle name="20% - Accent2 2 3 2 3" xfId="4931" xr:uid="{00000000-0005-0000-0000-0000CF000000}"/>
    <cellStyle name="20% - Accent2 2 3 2 3 2" xfId="13373" xr:uid="{01B0C87B-C0FF-4C98-9594-3CA7DB7FAA79}"/>
    <cellStyle name="20% - Accent2 2 3 2 4" xfId="9155" xr:uid="{EF1A3542-C541-49E5-9240-A2B9A6597660}"/>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A64C0B52-FA19-4C06-BC8B-F5AAA30F03FE}"/>
    <cellStyle name="20% - Accent2 2 3 3 2 3" xfId="11713" xr:uid="{8414A756-6DCB-438A-994E-8E9A7CCDD290}"/>
    <cellStyle name="20% - Accent2 2 3 3 3" xfId="5344" xr:uid="{00000000-0005-0000-0000-0000D3000000}"/>
    <cellStyle name="20% - Accent2 2 3 3 3 2" xfId="13786" xr:uid="{2AC349F7-4017-4235-8D2B-710B7EE0BFAD}"/>
    <cellStyle name="20% - Accent2 2 3 3 4" xfId="9568" xr:uid="{94FEEB1C-CF36-4B58-807C-5376990C1F25}"/>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01B0B140-6A3E-4E04-B2C5-32E9BC113FB4}"/>
    <cellStyle name="20% - Accent2 2 3 4 2 3" xfId="12126" xr:uid="{CA32DCF9-6421-4626-8993-05FD6D58CEBF}"/>
    <cellStyle name="20% - Accent2 2 3 4 3" xfId="5757" xr:uid="{00000000-0005-0000-0000-0000D7000000}"/>
    <cellStyle name="20% - Accent2 2 3 4 3 2" xfId="14199" xr:uid="{F5875905-15C9-40AE-A0B3-CF99B8619832}"/>
    <cellStyle name="20% - Accent2 2 3 4 4" xfId="9981" xr:uid="{5B4042E1-6C80-4566-9A67-A997B95E63BA}"/>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A3C63148-CC45-4530-B9B5-B8751F48AFD4}"/>
    <cellStyle name="20% - Accent2 2 3 5 2 3" xfId="12539" xr:uid="{C800D1AB-9D2F-405E-BF5B-728B686E08B2}"/>
    <cellStyle name="20% - Accent2 2 3 5 3" xfId="6170" xr:uid="{00000000-0005-0000-0000-0000DB000000}"/>
    <cellStyle name="20% - Accent2 2 3 5 3 2" xfId="14612" xr:uid="{DFCFA6C3-C44B-48FA-A5F1-A883E3A95724}"/>
    <cellStyle name="20% - Accent2 2 3 5 4" xfId="10394" xr:uid="{EC60E6BA-FE67-4C33-BB4D-2768A2A289CB}"/>
    <cellStyle name="20% - Accent2 2 3 6" xfId="2276" xr:uid="{00000000-0005-0000-0000-0000DC000000}"/>
    <cellStyle name="20% - Accent2 2 3 6 2" xfId="6583" xr:uid="{00000000-0005-0000-0000-0000DD000000}"/>
    <cellStyle name="20% - Accent2 2 3 6 2 2" xfId="15025" xr:uid="{7AAD2CF0-4433-492A-903A-2E4444BC222A}"/>
    <cellStyle name="20% - Accent2 2 3 6 3" xfId="10807" xr:uid="{BEE4C160-831E-437C-B1A6-35AC86A3E637}"/>
    <cellStyle name="20% - Accent2 2 3 7" xfId="4517" xr:uid="{00000000-0005-0000-0000-0000DE000000}"/>
    <cellStyle name="20% - Accent2 2 3 7 2" xfId="12959" xr:uid="{12843857-96A0-4129-8E29-9DF96287AC97}"/>
    <cellStyle name="20% - Accent2 2 3 8" xfId="8741" xr:uid="{A8435C64-B093-43AD-8182-F9DAE9A733DE}"/>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0B4BDA49-82F0-4F1E-9FE4-E2EE7C6CCC02}"/>
    <cellStyle name="20% - Accent2 2 4 2 3" xfId="11297" xr:uid="{200F1D59-A477-4895-B800-E076D6B2942A}"/>
    <cellStyle name="20% - Accent2 2 4 3" xfId="4928" xr:uid="{00000000-0005-0000-0000-0000E2000000}"/>
    <cellStyle name="20% - Accent2 2 4 3 2" xfId="13370" xr:uid="{27D40DB6-B143-4E8D-9EED-7D6A2CE6F4DB}"/>
    <cellStyle name="20% - Accent2 2 4 4" xfId="9152" xr:uid="{C559980C-5F5B-4D85-910D-484297FD399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7F0479C3-3309-4DCA-A3B5-E6E8E3962DE6}"/>
    <cellStyle name="20% - Accent2 2 5 2 3" xfId="11710" xr:uid="{D8F096BC-3077-40DC-9C34-D69F053FD990}"/>
    <cellStyle name="20% - Accent2 2 5 3" xfId="5341" xr:uid="{00000000-0005-0000-0000-0000E6000000}"/>
    <cellStyle name="20% - Accent2 2 5 3 2" xfId="13783" xr:uid="{02EC677A-D858-480A-BFDB-FF801B6AC7C7}"/>
    <cellStyle name="20% - Accent2 2 5 4" xfId="9565" xr:uid="{8AA0AA0C-ECAA-4A1B-BE82-EFFD6BA3C9FB}"/>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4B8EF91F-E88B-4B69-AA37-7D818BBA8145}"/>
    <cellStyle name="20% - Accent2 2 6 2 3" xfId="12123" xr:uid="{042FC7FF-8BD6-4AE3-A5E9-FEBF5C50B510}"/>
    <cellStyle name="20% - Accent2 2 6 3" xfId="5754" xr:uid="{00000000-0005-0000-0000-0000EA000000}"/>
    <cellStyle name="20% - Accent2 2 6 3 2" xfId="14196" xr:uid="{7A0FFEA6-EDB6-41FF-AE9F-FE2B8E9E73CF}"/>
    <cellStyle name="20% - Accent2 2 6 4" xfId="9978" xr:uid="{3EDDA2C9-5C94-4521-9F55-AF9491CE0E3F}"/>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63150742-176F-49AD-8E65-8CA6AB7C6EC9}"/>
    <cellStyle name="20% - Accent2 2 7 2 3" xfId="12536" xr:uid="{03E2CC79-ED3A-452A-A609-3878A21FEEFD}"/>
    <cellStyle name="20% - Accent2 2 7 3" xfId="6167" xr:uid="{00000000-0005-0000-0000-0000EE000000}"/>
    <cellStyle name="20% - Accent2 2 7 3 2" xfId="14609" xr:uid="{BF1F99C5-1224-4C31-B73C-6F175732AE20}"/>
    <cellStyle name="20% - Accent2 2 7 4" xfId="10391" xr:uid="{56E7B0C3-66AE-4DE7-B28E-D5A0A327B6A8}"/>
    <cellStyle name="20% - Accent2 2 8" xfId="2273" xr:uid="{00000000-0005-0000-0000-0000EF000000}"/>
    <cellStyle name="20% - Accent2 2 8 2" xfId="6580" xr:uid="{00000000-0005-0000-0000-0000F0000000}"/>
    <cellStyle name="20% - Accent2 2 8 2 2" xfId="15022" xr:uid="{15D9A3DF-8032-4B17-AE03-E4CD067CD724}"/>
    <cellStyle name="20% - Accent2 2 8 3" xfId="10804" xr:uid="{7E9DA175-6BBE-474C-A805-F5177F2C7362}"/>
    <cellStyle name="20% - Accent2 2 9" xfId="4514" xr:uid="{00000000-0005-0000-0000-0000F1000000}"/>
    <cellStyle name="20% - Accent2 2 9 2" xfId="12956" xr:uid="{194C06E6-E981-4882-BB8D-3D3A16DF75E3}"/>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DA39BD1B-3B4F-4936-810D-8A73B78ADFB1}"/>
    <cellStyle name="20% - Accent2 3 2 2 2 3" xfId="11302" xr:uid="{979010AD-CC47-4E39-8741-DCE55C8B94E3}"/>
    <cellStyle name="20% - Accent2 3 2 2 3" xfId="4933" xr:uid="{00000000-0005-0000-0000-0000F7000000}"/>
    <cellStyle name="20% - Accent2 3 2 2 3 2" xfId="13375" xr:uid="{2E6F2409-BFE9-4F51-8003-A82EAAA1414E}"/>
    <cellStyle name="20% - Accent2 3 2 2 4" xfId="9157" xr:uid="{EA0A70E8-BD31-4DE6-ABFE-1FD80AD39ADF}"/>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827F3794-C3F5-4620-8DC7-1B838927CEAD}"/>
    <cellStyle name="20% - Accent2 3 2 3 2 3" xfId="11715" xr:uid="{FC62297B-223C-4BC8-B90E-0384DC368D15}"/>
    <cellStyle name="20% - Accent2 3 2 3 3" xfId="5346" xr:uid="{00000000-0005-0000-0000-0000FB000000}"/>
    <cellStyle name="20% - Accent2 3 2 3 3 2" xfId="13788" xr:uid="{52D7E766-B73D-4A6A-81FB-2EBD72717735}"/>
    <cellStyle name="20% - Accent2 3 2 3 4" xfId="9570" xr:uid="{C4ADD09E-7321-47F4-BA28-98199E0012A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6FBB799B-64B9-4D22-8949-4CBB7D3F14FC}"/>
    <cellStyle name="20% - Accent2 3 2 4 2 3" xfId="12128" xr:uid="{843B8C9F-9C81-4C95-AC49-11665206B3B6}"/>
    <cellStyle name="20% - Accent2 3 2 4 3" xfId="5759" xr:uid="{00000000-0005-0000-0000-0000FF000000}"/>
    <cellStyle name="20% - Accent2 3 2 4 3 2" xfId="14201" xr:uid="{016DFE62-8198-4628-9390-FC76D52DC3D5}"/>
    <cellStyle name="20% - Accent2 3 2 4 4" xfId="9983" xr:uid="{B1193E4A-BF55-4F91-9AA3-5997DA0E4649}"/>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0F1E6B8A-3CF9-4523-AFD0-E81BC01E4286}"/>
    <cellStyle name="20% - Accent2 3 2 5 2 3" xfId="12541" xr:uid="{B83ED7B4-A672-4DDB-82AC-6314A3EF80E7}"/>
    <cellStyle name="20% - Accent2 3 2 5 3" xfId="6172" xr:uid="{00000000-0005-0000-0000-000003010000}"/>
    <cellStyle name="20% - Accent2 3 2 5 3 2" xfId="14614" xr:uid="{53BA1D77-2B39-4362-A986-33F96D3D55F0}"/>
    <cellStyle name="20% - Accent2 3 2 5 4" xfId="10396" xr:uid="{54749E03-04B8-46C2-A55D-4E913139D5F9}"/>
    <cellStyle name="20% - Accent2 3 2 6" xfId="2278" xr:uid="{00000000-0005-0000-0000-000004010000}"/>
    <cellStyle name="20% - Accent2 3 2 6 2" xfId="6585" xr:uid="{00000000-0005-0000-0000-000005010000}"/>
    <cellStyle name="20% - Accent2 3 2 6 2 2" xfId="15027" xr:uid="{1269B512-F94B-4A08-B053-A98FFF7CAF16}"/>
    <cellStyle name="20% - Accent2 3 2 6 3" xfId="10809" xr:uid="{D5D00E58-C96A-4DAF-A7D4-C8BDAB9B5EFC}"/>
    <cellStyle name="20% - Accent2 3 2 7" xfId="4519" xr:uid="{00000000-0005-0000-0000-000006010000}"/>
    <cellStyle name="20% - Accent2 3 2 7 2" xfId="12961" xr:uid="{A47BAA1C-2BB2-4273-B21A-01096D1AC5F1}"/>
    <cellStyle name="20% - Accent2 3 2 8" xfId="8743" xr:uid="{B2DAB289-AECE-477B-A840-67105473CBF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AA2D88FB-CE57-4A42-B823-F6FFDE48A1F6}"/>
    <cellStyle name="20% - Accent2 3 3 2 3" xfId="11301" xr:uid="{5AD5F0AF-E2B4-4003-80CD-0C2EC42559B8}"/>
    <cellStyle name="20% - Accent2 3 3 3" xfId="4932" xr:uid="{00000000-0005-0000-0000-00000A010000}"/>
    <cellStyle name="20% - Accent2 3 3 3 2" xfId="13374" xr:uid="{B4D59D68-10B6-4D99-9019-E006291555BE}"/>
    <cellStyle name="20% - Accent2 3 3 4" xfId="9156" xr:uid="{B8B04516-1A65-49E6-8F3F-876A609A2B00}"/>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0A2CD27E-9AA3-4C4B-ACA4-36E24F494BAF}"/>
    <cellStyle name="20% - Accent2 3 4 2 3" xfId="11714" xr:uid="{72E93B8E-BF49-4A17-AAF0-67F25EBBDC6D}"/>
    <cellStyle name="20% - Accent2 3 4 3" xfId="5345" xr:uid="{00000000-0005-0000-0000-00000E010000}"/>
    <cellStyle name="20% - Accent2 3 4 3 2" xfId="13787" xr:uid="{36E1217B-D129-43EB-A8B9-857C757596A7}"/>
    <cellStyle name="20% - Accent2 3 4 4" xfId="9569" xr:uid="{6CE4E90F-9192-43C4-B1FF-3BB691FE16CD}"/>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CE7662C7-2C71-4B4B-9CC1-46F233F77B48}"/>
    <cellStyle name="20% - Accent2 3 5 2 3" xfId="12127" xr:uid="{6870DD34-06CB-42D9-8BFC-80FF45A4000F}"/>
    <cellStyle name="20% - Accent2 3 5 3" xfId="5758" xr:uid="{00000000-0005-0000-0000-000012010000}"/>
    <cellStyle name="20% - Accent2 3 5 3 2" xfId="14200" xr:uid="{B498B8B9-AA08-4B83-A12E-A0B76FB3E61A}"/>
    <cellStyle name="20% - Accent2 3 5 4" xfId="9982" xr:uid="{1DE53BA0-3761-4D6F-B52D-8B0E3F4C1E0E}"/>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C083A7A3-9574-44F5-B2D7-D1C91BBC03DF}"/>
    <cellStyle name="20% - Accent2 3 6 2 3" xfId="12540" xr:uid="{343380CE-2F18-455C-A7AE-120DD8E9E4AC}"/>
    <cellStyle name="20% - Accent2 3 6 3" xfId="6171" xr:uid="{00000000-0005-0000-0000-000016010000}"/>
    <cellStyle name="20% - Accent2 3 6 3 2" xfId="14613" xr:uid="{F6CBE651-7778-4998-9DB5-B245087B69E2}"/>
    <cellStyle name="20% - Accent2 3 6 4" xfId="10395" xr:uid="{4FB1514A-42B9-47AD-BAB5-17A3C1B5FA11}"/>
    <cellStyle name="20% - Accent2 3 7" xfId="2277" xr:uid="{00000000-0005-0000-0000-000017010000}"/>
    <cellStyle name="20% - Accent2 3 7 2" xfId="6584" xr:uid="{00000000-0005-0000-0000-000018010000}"/>
    <cellStyle name="20% - Accent2 3 7 2 2" xfId="15026" xr:uid="{6F0C9C5C-0627-484E-9453-A11ACD4DC490}"/>
    <cellStyle name="20% - Accent2 3 7 3" xfId="10808" xr:uid="{1D07DA25-EE37-4628-9111-4D1A9CA7F365}"/>
    <cellStyle name="20% - Accent2 3 8" xfId="4518" xr:uid="{00000000-0005-0000-0000-000019010000}"/>
    <cellStyle name="20% - Accent2 3 8 2" xfId="12960" xr:uid="{F9E1508E-04F0-4214-A59B-9408E4DB48AA}"/>
    <cellStyle name="20% - Accent2 3 9" xfId="8742" xr:uid="{E1E8B8BA-53F3-4B69-A135-40BD5865A88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A6BA60C8-3DB2-46D7-BD4E-26DED5C0E9BD}"/>
    <cellStyle name="20% - Accent2 4 2 2 3" xfId="11303" xr:uid="{2FE4801C-28A6-47BD-9169-04F0512FBEA4}"/>
    <cellStyle name="20% - Accent2 4 2 3" xfId="4934" xr:uid="{00000000-0005-0000-0000-00001E010000}"/>
    <cellStyle name="20% - Accent2 4 2 3 2" xfId="13376" xr:uid="{63957658-9AE0-4BB2-A4A5-00D52CF45831}"/>
    <cellStyle name="20% - Accent2 4 2 4" xfId="9158" xr:uid="{F306AEC1-6C75-46B0-9A3B-4C23E59CF54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D1D60CA1-9176-4A5C-A01B-1C9B846C0F0A}"/>
    <cellStyle name="20% - Accent2 4 3 2 3" xfId="11716" xr:uid="{B4B0E43C-8DE7-4A9E-B9D8-7CD835C0E234}"/>
    <cellStyle name="20% - Accent2 4 3 3" xfId="5347" xr:uid="{00000000-0005-0000-0000-000022010000}"/>
    <cellStyle name="20% - Accent2 4 3 3 2" xfId="13789" xr:uid="{BAF8497B-12A9-498C-B5B5-038F94CF0993}"/>
    <cellStyle name="20% - Accent2 4 3 4" xfId="9571" xr:uid="{69DA00F5-F2FB-4EC5-A1C7-36404612BE03}"/>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B9B14034-A047-4BB8-A318-38F88431BF99}"/>
    <cellStyle name="20% - Accent2 4 4 2 3" xfId="12129" xr:uid="{7FBD26EF-F18E-4E0C-9CB2-15B82AA68C00}"/>
    <cellStyle name="20% - Accent2 4 4 3" xfId="5760" xr:uid="{00000000-0005-0000-0000-000026010000}"/>
    <cellStyle name="20% - Accent2 4 4 3 2" xfId="14202" xr:uid="{2BAE55D4-0684-493F-9280-4BD7627670BE}"/>
    <cellStyle name="20% - Accent2 4 4 4" xfId="9984" xr:uid="{8FEF887D-CD37-4BF2-A03C-AB68F4D0AA79}"/>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994340ED-ED36-4B76-BC30-A4E5C9DC4EEF}"/>
    <cellStyle name="20% - Accent2 4 5 2 3" xfId="12542" xr:uid="{3C20CA8B-7BC9-440C-BC55-5CFEA9DA426E}"/>
    <cellStyle name="20% - Accent2 4 5 3" xfId="6173" xr:uid="{00000000-0005-0000-0000-00002A010000}"/>
    <cellStyle name="20% - Accent2 4 5 3 2" xfId="14615" xr:uid="{18B26B50-1514-4BB6-95A6-22972025955F}"/>
    <cellStyle name="20% - Accent2 4 5 4" xfId="10397" xr:uid="{BCBC9757-E3C0-411A-ADCF-CCC3ECDF1199}"/>
    <cellStyle name="20% - Accent2 4 6" xfId="2279" xr:uid="{00000000-0005-0000-0000-00002B010000}"/>
    <cellStyle name="20% - Accent2 4 6 2" xfId="6586" xr:uid="{00000000-0005-0000-0000-00002C010000}"/>
    <cellStyle name="20% - Accent2 4 6 2 2" xfId="15028" xr:uid="{5719F02D-E017-4D13-AF4F-E9F510882A34}"/>
    <cellStyle name="20% - Accent2 4 6 3" xfId="10810" xr:uid="{D55EE4E3-A996-43DA-B58C-7ECF83345FF2}"/>
    <cellStyle name="20% - Accent2 4 7" xfId="4520" xr:uid="{00000000-0005-0000-0000-00002D010000}"/>
    <cellStyle name="20% - Accent2 4 7 2" xfId="12962" xr:uid="{D2194ED7-402E-4DEB-A5EE-8ECC1239C54F}"/>
    <cellStyle name="20% - Accent2 4 8" xfId="8744" xr:uid="{59541FCD-A0E1-41E8-ACF9-98CA41CCA59B}"/>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91B7A144-D918-46B1-B131-867D9FC6F385}"/>
    <cellStyle name="20% - Accent2 5 2 3" xfId="11296" xr:uid="{0018142B-643A-4883-9A44-4EE296805297}"/>
    <cellStyle name="20% - Accent2 5 3" xfId="4927" xr:uid="{00000000-0005-0000-0000-000031010000}"/>
    <cellStyle name="20% - Accent2 5 3 2" xfId="13369" xr:uid="{441F9360-D087-40F2-8CC1-7ABDAD84B514}"/>
    <cellStyle name="20% - Accent2 5 4" xfId="9151" xr:uid="{E728C3B2-A09E-4970-BE04-4A773BA136A5}"/>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21734A40-D9B9-438D-AAD7-2358481A4F89}"/>
    <cellStyle name="20% - Accent2 6 2 3" xfId="11709" xr:uid="{A9FE6E9A-816D-4C20-805A-D540DED34D8D}"/>
    <cellStyle name="20% - Accent2 6 3" xfId="5340" xr:uid="{00000000-0005-0000-0000-000035010000}"/>
    <cellStyle name="20% - Accent2 6 3 2" xfId="13782" xr:uid="{0BFC8FBF-9B8A-4D82-A25D-EC99244D630A}"/>
    <cellStyle name="20% - Accent2 6 4" xfId="9564" xr:uid="{8D6826A3-85E0-4B7A-925E-2D3824BE604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B9FE710-2E4D-4B7A-AA3C-7CA33A1852F8}"/>
    <cellStyle name="20% - Accent2 7 2 3" xfId="12122" xr:uid="{2864E394-905A-499A-A6D4-7ED5CB4C3C50}"/>
    <cellStyle name="20% - Accent2 7 3" xfId="5753" xr:uid="{00000000-0005-0000-0000-000039010000}"/>
    <cellStyle name="20% - Accent2 7 3 2" xfId="14195" xr:uid="{139C53D5-062F-4C59-9A92-6ABB2618DE92}"/>
    <cellStyle name="20% - Accent2 7 4" xfId="9977" xr:uid="{AA79AD80-524C-414F-86CA-BBECB7CD4830}"/>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B8704874-D070-49F6-931D-324773B3B403}"/>
    <cellStyle name="20% - Accent2 8 2 3" xfId="12535" xr:uid="{864973D8-A3C7-4C3C-B084-DC7FCB860E98}"/>
    <cellStyle name="20% - Accent2 8 3" xfId="6166" xr:uid="{00000000-0005-0000-0000-00003D010000}"/>
    <cellStyle name="20% - Accent2 8 3 2" xfId="14608" xr:uid="{799DF6FC-6DC1-415D-8CC3-1AD7292AA4D7}"/>
    <cellStyle name="20% - Accent2 8 4" xfId="10390" xr:uid="{B8E4F029-BC1D-4FF1-A3B0-8D6BAA00AAFF}"/>
    <cellStyle name="20% - Accent2 9" xfId="2272" xr:uid="{00000000-0005-0000-0000-00003E010000}"/>
    <cellStyle name="20% - Accent2 9 2" xfId="6579" xr:uid="{00000000-0005-0000-0000-00003F010000}"/>
    <cellStyle name="20% - Accent2 9 2 2" xfId="15021" xr:uid="{BEBD1BA6-3690-4847-A008-FD48BA21F496}"/>
    <cellStyle name="20% - Accent2 9 3" xfId="10803" xr:uid="{CEC068E7-0A83-40D7-B134-525277C9C74B}"/>
    <cellStyle name="20% - Accent3" xfId="17" builtinId="38" customBuiltin="1"/>
    <cellStyle name="20% - Accent3 10" xfId="4521" xr:uid="{00000000-0005-0000-0000-000041010000}"/>
    <cellStyle name="20% - Accent3 10 2" xfId="12963" xr:uid="{3614CCCA-8BEC-46A3-AA2C-3AEA370B6EF2}"/>
    <cellStyle name="20% - Accent3 11" xfId="8745" xr:uid="{A48E89C5-0118-43C0-89BE-E11DCF1D4C16}"/>
    <cellStyle name="20% - Accent3 2" xfId="18" xr:uid="{00000000-0005-0000-0000-000042010000}"/>
    <cellStyle name="20% - Accent3 2 10" xfId="8746" xr:uid="{994EF564-9573-491A-B1DD-D1715B0A344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342C6566-4460-443A-8D28-C3367CD1B7D7}"/>
    <cellStyle name="20% - Accent3 2 2 2 2 2 3" xfId="11307" xr:uid="{FF5CBFF3-668C-4DA5-899E-66A293DD5590}"/>
    <cellStyle name="20% - Accent3 2 2 2 2 3" xfId="4938" xr:uid="{00000000-0005-0000-0000-000048010000}"/>
    <cellStyle name="20% - Accent3 2 2 2 2 3 2" xfId="13380" xr:uid="{9A222332-CA7A-4734-8D9D-BA49C36EB2D8}"/>
    <cellStyle name="20% - Accent3 2 2 2 2 4" xfId="9162" xr:uid="{E09EB92B-0070-41EC-A54D-700951772451}"/>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07DCB6EE-71B0-419D-984A-E130FB883A9B}"/>
    <cellStyle name="20% - Accent3 2 2 2 3 2 3" xfId="11720" xr:uid="{CC30CD5C-3D0A-41CF-8B01-5EA18A4522D3}"/>
    <cellStyle name="20% - Accent3 2 2 2 3 3" xfId="5351" xr:uid="{00000000-0005-0000-0000-00004C010000}"/>
    <cellStyle name="20% - Accent3 2 2 2 3 3 2" xfId="13793" xr:uid="{B9540CDE-210B-4105-B61E-93C223CE0F27}"/>
    <cellStyle name="20% - Accent3 2 2 2 3 4" xfId="9575" xr:uid="{8613C197-CF31-4E6F-B4C1-F7AE5BC1FEAC}"/>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B3B33887-BD2C-4050-93BA-6D4BD558CD14}"/>
    <cellStyle name="20% - Accent3 2 2 2 4 2 3" xfId="12133" xr:uid="{5AF5BA96-114C-4259-9886-DB93365B34ED}"/>
    <cellStyle name="20% - Accent3 2 2 2 4 3" xfId="5764" xr:uid="{00000000-0005-0000-0000-000050010000}"/>
    <cellStyle name="20% - Accent3 2 2 2 4 3 2" xfId="14206" xr:uid="{918F7BD1-7CB6-49F9-96CC-64C377ABB5FF}"/>
    <cellStyle name="20% - Accent3 2 2 2 4 4" xfId="9988" xr:uid="{DF4C8E94-44E7-40C3-B437-8D25ECEF8131}"/>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222DF16E-C1D5-4BE8-B4C4-CFA53D70D83D}"/>
    <cellStyle name="20% - Accent3 2 2 2 5 2 3" xfId="12546" xr:uid="{4F56C470-6E9F-4962-8463-8BACDB585F36}"/>
    <cellStyle name="20% - Accent3 2 2 2 5 3" xfId="6177" xr:uid="{00000000-0005-0000-0000-000054010000}"/>
    <cellStyle name="20% - Accent3 2 2 2 5 3 2" xfId="14619" xr:uid="{2378C099-D2B3-41A9-9591-8F517B717B2D}"/>
    <cellStyle name="20% - Accent3 2 2 2 5 4" xfId="10401" xr:uid="{0873668C-CD8E-4D1F-AC3E-A304A69E3280}"/>
    <cellStyle name="20% - Accent3 2 2 2 6" xfId="2283" xr:uid="{00000000-0005-0000-0000-000055010000}"/>
    <cellStyle name="20% - Accent3 2 2 2 6 2" xfId="6590" xr:uid="{00000000-0005-0000-0000-000056010000}"/>
    <cellStyle name="20% - Accent3 2 2 2 6 2 2" xfId="15032" xr:uid="{F17614F9-3B3C-421E-9FF6-02D09821BAC2}"/>
    <cellStyle name="20% - Accent3 2 2 2 6 3" xfId="10814" xr:uid="{78F01146-2644-41E9-97DB-44240402D984}"/>
    <cellStyle name="20% - Accent3 2 2 2 7" xfId="4524" xr:uid="{00000000-0005-0000-0000-000057010000}"/>
    <cellStyle name="20% - Accent3 2 2 2 7 2" xfId="12966" xr:uid="{4D71A8FB-FF44-4392-85D6-059F7BE029B1}"/>
    <cellStyle name="20% - Accent3 2 2 2 8" xfId="8748" xr:uid="{6F9B5B42-2965-44B5-BE7F-0EB9DB38AC11}"/>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27C0A6C1-77FB-4C29-B547-8561DBA5452A}"/>
    <cellStyle name="20% - Accent3 2 2 3 2 3" xfId="11306" xr:uid="{B8C98914-0882-42F4-B10B-53A2A9F02E5F}"/>
    <cellStyle name="20% - Accent3 2 2 3 3" xfId="4937" xr:uid="{00000000-0005-0000-0000-00005B010000}"/>
    <cellStyle name="20% - Accent3 2 2 3 3 2" xfId="13379" xr:uid="{F8FDF02C-4BB4-4831-A5E4-6F9A48C385C0}"/>
    <cellStyle name="20% - Accent3 2 2 3 4" xfId="9161" xr:uid="{1F0F85C5-A556-499E-BBAC-060EDAC8857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BFEB7C6D-9852-4390-8F3F-0A52705C9CAE}"/>
    <cellStyle name="20% - Accent3 2 2 4 2 3" xfId="11719" xr:uid="{2D8D3EFC-F431-49FE-92D0-AAC2D29AB4AF}"/>
    <cellStyle name="20% - Accent3 2 2 4 3" xfId="5350" xr:uid="{00000000-0005-0000-0000-00005F010000}"/>
    <cellStyle name="20% - Accent3 2 2 4 3 2" xfId="13792" xr:uid="{2F42A53A-AFEB-46DC-9898-934B122EFAF6}"/>
    <cellStyle name="20% - Accent3 2 2 4 4" xfId="9574" xr:uid="{EA90EC3C-FC36-4416-BA62-8FA4D1AE5AB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074AA748-28BA-40B6-B8CC-8847E211DED9}"/>
    <cellStyle name="20% - Accent3 2 2 5 2 3" xfId="12132" xr:uid="{E7263AE0-3BBB-4426-B7DC-37D4E9E203DC}"/>
    <cellStyle name="20% - Accent3 2 2 5 3" xfId="5763" xr:uid="{00000000-0005-0000-0000-000063010000}"/>
    <cellStyle name="20% - Accent3 2 2 5 3 2" xfId="14205" xr:uid="{2B1EAD0F-1F7C-4272-B69D-0990FD3F4EA6}"/>
    <cellStyle name="20% - Accent3 2 2 5 4" xfId="9987" xr:uid="{225ABF8C-7639-4E8F-B07B-31E8314D4F8F}"/>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2D26C44A-9DBA-425B-ACC6-66E8C02294AA}"/>
    <cellStyle name="20% - Accent3 2 2 6 2 3" xfId="12545" xr:uid="{17EDA223-87A4-49DC-B43F-CC9CE3D24265}"/>
    <cellStyle name="20% - Accent3 2 2 6 3" xfId="6176" xr:uid="{00000000-0005-0000-0000-000067010000}"/>
    <cellStyle name="20% - Accent3 2 2 6 3 2" xfId="14618" xr:uid="{659E0DB1-96B3-4839-919B-CEE90F13425C}"/>
    <cellStyle name="20% - Accent3 2 2 6 4" xfId="10400" xr:uid="{6F3410DF-3B68-41E0-8C96-3CABEFDA498E}"/>
    <cellStyle name="20% - Accent3 2 2 7" xfId="2282" xr:uid="{00000000-0005-0000-0000-000068010000}"/>
    <cellStyle name="20% - Accent3 2 2 7 2" xfId="6589" xr:uid="{00000000-0005-0000-0000-000069010000}"/>
    <cellStyle name="20% - Accent3 2 2 7 2 2" xfId="15031" xr:uid="{45EAB8A9-8869-4D9B-8983-17F45B4B7B08}"/>
    <cellStyle name="20% - Accent3 2 2 7 3" xfId="10813" xr:uid="{9FD26D4E-D82E-46B6-8694-6A8CC89B5B90}"/>
    <cellStyle name="20% - Accent3 2 2 8" xfId="4523" xr:uid="{00000000-0005-0000-0000-00006A010000}"/>
    <cellStyle name="20% - Accent3 2 2 8 2" xfId="12965" xr:uid="{54ADE71E-2620-409C-98A8-1219C8C0CFDA}"/>
    <cellStyle name="20% - Accent3 2 2 9" xfId="8747" xr:uid="{54FA9EBD-3A81-4116-AA34-D06425713D81}"/>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52A5F26B-BC9F-48AF-BA70-373B1D102680}"/>
    <cellStyle name="20% - Accent3 2 3 2 2 3" xfId="11308" xr:uid="{57594259-FBF5-4876-9A7E-B5A1B3EF987A}"/>
    <cellStyle name="20% - Accent3 2 3 2 3" xfId="4939" xr:uid="{00000000-0005-0000-0000-00006F010000}"/>
    <cellStyle name="20% - Accent3 2 3 2 3 2" xfId="13381" xr:uid="{AE0FF754-60AB-4D35-870A-435EC85160D0}"/>
    <cellStyle name="20% - Accent3 2 3 2 4" xfId="9163" xr:uid="{B074D01B-AB24-4771-8763-F558FDAB9E0D}"/>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4434492A-53E9-4AFD-BB27-2B2EEAE33726}"/>
    <cellStyle name="20% - Accent3 2 3 3 2 3" xfId="11721" xr:uid="{2025AD39-0550-41F4-80DA-9EC2D8CBD0B3}"/>
    <cellStyle name="20% - Accent3 2 3 3 3" xfId="5352" xr:uid="{00000000-0005-0000-0000-000073010000}"/>
    <cellStyle name="20% - Accent3 2 3 3 3 2" xfId="13794" xr:uid="{C8FB0632-59B7-4BDB-8865-F182964DF0C9}"/>
    <cellStyle name="20% - Accent3 2 3 3 4" xfId="9576" xr:uid="{7D129032-9332-43E4-920B-B6B9EC7ADE31}"/>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3A73A291-6942-4562-A6DB-C05914A19FD2}"/>
    <cellStyle name="20% - Accent3 2 3 4 2 3" xfId="12134" xr:uid="{CD33F7E8-6672-4279-BDA4-22163DE1953D}"/>
    <cellStyle name="20% - Accent3 2 3 4 3" xfId="5765" xr:uid="{00000000-0005-0000-0000-000077010000}"/>
    <cellStyle name="20% - Accent3 2 3 4 3 2" xfId="14207" xr:uid="{331AED5A-908C-4BA2-9E03-5C673DE8CD1F}"/>
    <cellStyle name="20% - Accent3 2 3 4 4" xfId="9989" xr:uid="{15FC508E-0F93-4650-AEEB-329B138B07C7}"/>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9DD7C8A7-57DE-4F40-ABE6-DACE832E7AB4}"/>
    <cellStyle name="20% - Accent3 2 3 5 2 3" xfId="12547" xr:uid="{6B986DA2-1E81-419C-A4B5-051E4A90BCBD}"/>
    <cellStyle name="20% - Accent3 2 3 5 3" xfId="6178" xr:uid="{00000000-0005-0000-0000-00007B010000}"/>
    <cellStyle name="20% - Accent3 2 3 5 3 2" xfId="14620" xr:uid="{DCB9A8FC-480A-4792-B758-AA62118282BF}"/>
    <cellStyle name="20% - Accent3 2 3 5 4" xfId="10402" xr:uid="{6E346866-C09C-424A-B593-809848FDE446}"/>
    <cellStyle name="20% - Accent3 2 3 6" xfId="2284" xr:uid="{00000000-0005-0000-0000-00007C010000}"/>
    <cellStyle name="20% - Accent3 2 3 6 2" xfId="6591" xr:uid="{00000000-0005-0000-0000-00007D010000}"/>
    <cellStyle name="20% - Accent3 2 3 6 2 2" xfId="15033" xr:uid="{318C8EE6-3D41-4BED-8086-34E103206454}"/>
    <cellStyle name="20% - Accent3 2 3 6 3" xfId="10815" xr:uid="{4014950D-AC07-4D62-A598-5F2BC8D8155D}"/>
    <cellStyle name="20% - Accent3 2 3 7" xfId="4525" xr:uid="{00000000-0005-0000-0000-00007E010000}"/>
    <cellStyle name="20% - Accent3 2 3 7 2" xfId="12967" xr:uid="{29814140-244D-4B05-B8FD-6E3B00835B07}"/>
    <cellStyle name="20% - Accent3 2 3 8" xfId="8749" xr:uid="{E4FBBBEB-6AA1-4100-8344-D3B7C1240080}"/>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1AC6D75D-D537-488A-BCDB-EB9B280A635B}"/>
    <cellStyle name="20% - Accent3 2 4 2 3" xfId="11305" xr:uid="{9FEA8E42-825A-42B5-AA63-AF14147C9012}"/>
    <cellStyle name="20% - Accent3 2 4 3" xfId="4936" xr:uid="{00000000-0005-0000-0000-000082010000}"/>
    <cellStyle name="20% - Accent3 2 4 3 2" xfId="13378" xr:uid="{839A466A-2F9E-4BA2-A2BC-E4E212DBA231}"/>
    <cellStyle name="20% - Accent3 2 4 4" xfId="9160" xr:uid="{52CE9B30-8119-43CB-AEBA-7A59B9B20ED6}"/>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056987DB-6EBD-4BF5-B81B-589C3A9C07DE}"/>
    <cellStyle name="20% - Accent3 2 5 2 3" xfId="11718" xr:uid="{5A8499CC-9B5D-4071-A2D2-8D8DFCDBDA11}"/>
    <cellStyle name="20% - Accent3 2 5 3" xfId="5349" xr:uid="{00000000-0005-0000-0000-000086010000}"/>
    <cellStyle name="20% - Accent3 2 5 3 2" xfId="13791" xr:uid="{D26CA337-A877-43FE-AD2D-1C476F5119B5}"/>
    <cellStyle name="20% - Accent3 2 5 4" xfId="9573" xr:uid="{C753CABF-C027-45CA-B147-104259490709}"/>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BADCDF50-42A9-4780-8463-979BDFE42214}"/>
    <cellStyle name="20% - Accent3 2 6 2 3" xfId="12131" xr:uid="{0D8331C2-6DE7-4C2C-A494-886199992B83}"/>
    <cellStyle name="20% - Accent3 2 6 3" xfId="5762" xr:uid="{00000000-0005-0000-0000-00008A010000}"/>
    <cellStyle name="20% - Accent3 2 6 3 2" xfId="14204" xr:uid="{F32B13F7-7D3A-4C77-B75F-368593063717}"/>
    <cellStyle name="20% - Accent3 2 6 4" xfId="9986" xr:uid="{CC969D50-4DB4-4B51-AB3F-754451F82646}"/>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71C3A906-3569-4935-BDE6-8D9079ED0894}"/>
    <cellStyle name="20% - Accent3 2 7 2 3" xfId="12544" xr:uid="{B1486AAF-AE8D-4921-B8A7-FE8A056F33CA}"/>
    <cellStyle name="20% - Accent3 2 7 3" xfId="6175" xr:uid="{00000000-0005-0000-0000-00008E010000}"/>
    <cellStyle name="20% - Accent3 2 7 3 2" xfId="14617" xr:uid="{907D2888-D00D-404D-A403-3C83ACF3E6F8}"/>
    <cellStyle name="20% - Accent3 2 7 4" xfId="10399" xr:uid="{462C39E5-B17D-47AD-8FFB-C0BDECC7C6C4}"/>
    <cellStyle name="20% - Accent3 2 8" xfId="2281" xr:uid="{00000000-0005-0000-0000-00008F010000}"/>
    <cellStyle name="20% - Accent3 2 8 2" xfId="6588" xr:uid="{00000000-0005-0000-0000-000090010000}"/>
    <cellStyle name="20% - Accent3 2 8 2 2" xfId="15030" xr:uid="{2E5AD2FF-F712-46B9-AA33-68DCEA081EBA}"/>
    <cellStyle name="20% - Accent3 2 8 3" xfId="10812" xr:uid="{2C5EBE6E-1BB0-43A1-8947-DA2817DA974D}"/>
    <cellStyle name="20% - Accent3 2 9" xfId="4522" xr:uid="{00000000-0005-0000-0000-000091010000}"/>
    <cellStyle name="20% - Accent3 2 9 2" xfId="12964" xr:uid="{A30A97A5-1CD0-4C35-B393-E0C9D64024B6}"/>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1CEABB7D-052E-4B92-9C54-014A9CDA9F61}"/>
    <cellStyle name="20% - Accent3 3 2 2 2 3" xfId="11310" xr:uid="{447A217A-B6C3-4834-AA8E-885A57241BA8}"/>
    <cellStyle name="20% - Accent3 3 2 2 3" xfId="4941" xr:uid="{00000000-0005-0000-0000-000097010000}"/>
    <cellStyle name="20% - Accent3 3 2 2 3 2" xfId="13383" xr:uid="{EB70616A-2BF0-423E-97E6-22A6A128C661}"/>
    <cellStyle name="20% - Accent3 3 2 2 4" xfId="9165" xr:uid="{3E819683-62DB-46E7-B07A-375703E26D3D}"/>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72155809-1542-4596-A8F3-292C1F05C1E5}"/>
    <cellStyle name="20% - Accent3 3 2 3 2 3" xfId="11723" xr:uid="{B19A13C4-D84C-4E70-8B68-CA64A0C593D9}"/>
    <cellStyle name="20% - Accent3 3 2 3 3" xfId="5354" xr:uid="{00000000-0005-0000-0000-00009B010000}"/>
    <cellStyle name="20% - Accent3 3 2 3 3 2" xfId="13796" xr:uid="{E5D08142-FB0C-48BD-9572-A9388B2F2C98}"/>
    <cellStyle name="20% - Accent3 3 2 3 4" xfId="9578" xr:uid="{0EC39D78-22C5-4BDC-9CFD-02051E40D4BF}"/>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5275DB86-FFD5-405E-98DB-84746B88ED69}"/>
    <cellStyle name="20% - Accent3 3 2 4 2 3" xfId="12136" xr:uid="{F4D40D0C-5B1B-4C45-B777-6DAB33B6495C}"/>
    <cellStyle name="20% - Accent3 3 2 4 3" xfId="5767" xr:uid="{00000000-0005-0000-0000-00009F010000}"/>
    <cellStyle name="20% - Accent3 3 2 4 3 2" xfId="14209" xr:uid="{64FF8248-8F5B-4539-9B2F-8E3761AA6EC9}"/>
    <cellStyle name="20% - Accent3 3 2 4 4" xfId="9991" xr:uid="{2157B6AB-91DC-4858-905B-AE4C6521E1BB}"/>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EFD12D1F-AC85-4D62-A028-5283FAF28606}"/>
    <cellStyle name="20% - Accent3 3 2 5 2 3" xfId="12549" xr:uid="{4E55FABD-3080-468F-960F-710D8CA2649A}"/>
    <cellStyle name="20% - Accent3 3 2 5 3" xfId="6180" xr:uid="{00000000-0005-0000-0000-0000A3010000}"/>
    <cellStyle name="20% - Accent3 3 2 5 3 2" xfId="14622" xr:uid="{BBD0C367-3ABD-4FB7-9B2F-1AADECFE84C4}"/>
    <cellStyle name="20% - Accent3 3 2 5 4" xfId="10404" xr:uid="{731F9B8C-F4F6-4DAC-A279-DDD55958D247}"/>
    <cellStyle name="20% - Accent3 3 2 6" xfId="2286" xr:uid="{00000000-0005-0000-0000-0000A4010000}"/>
    <cellStyle name="20% - Accent3 3 2 6 2" xfId="6593" xr:uid="{00000000-0005-0000-0000-0000A5010000}"/>
    <cellStyle name="20% - Accent3 3 2 6 2 2" xfId="15035" xr:uid="{423AB80D-8E11-44E9-A2B3-FD3D93FC09F3}"/>
    <cellStyle name="20% - Accent3 3 2 6 3" xfId="10817" xr:uid="{4054F4FB-CE71-4E58-B0D4-135E074325D9}"/>
    <cellStyle name="20% - Accent3 3 2 7" xfId="4527" xr:uid="{00000000-0005-0000-0000-0000A6010000}"/>
    <cellStyle name="20% - Accent3 3 2 7 2" xfId="12969" xr:uid="{197CF270-1A1A-4966-9038-BDA458DA01AB}"/>
    <cellStyle name="20% - Accent3 3 2 8" xfId="8751" xr:uid="{4F90AC06-B94E-4AD0-AC7C-747A9D0B0D2F}"/>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2654AE0F-818E-4552-BF6E-436A00EE9F8D}"/>
    <cellStyle name="20% - Accent3 3 3 2 3" xfId="11309" xr:uid="{E9E2CE7E-404A-4C5E-A0FF-68DDC08D9E95}"/>
    <cellStyle name="20% - Accent3 3 3 3" xfId="4940" xr:uid="{00000000-0005-0000-0000-0000AA010000}"/>
    <cellStyle name="20% - Accent3 3 3 3 2" xfId="13382" xr:uid="{4B283470-B8F5-4142-8727-8CDD87D02915}"/>
    <cellStyle name="20% - Accent3 3 3 4" xfId="9164" xr:uid="{D6E02C00-A7A3-4B00-B03A-D98A3FEF9879}"/>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9AB80DC1-1F0C-44C5-885D-10BB7CAF6708}"/>
    <cellStyle name="20% - Accent3 3 4 2 3" xfId="11722" xr:uid="{F40980EB-4CF5-46AF-ACDA-7201E332B6E6}"/>
    <cellStyle name="20% - Accent3 3 4 3" xfId="5353" xr:uid="{00000000-0005-0000-0000-0000AE010000}"/>
    <cellStyle name="20% - Accent3 3 4 3 2" xfId="13795" xr:uid="{753A2992-EF44-4199-9B34-CF785D00A68B}"/>
    <cellStyle name="20% - Accent3 3 4 4" xfId="9577" xr:uid="{C314F623-98E8-40E4-B4DE-72A7EA770ED9}"/>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296D44A1-5344-47C8-8237-C8117CBCECD1}"/>
    <cellStyle name="20% - Accent3 3 5 2 3" xfId="12135" xr:uid="{C57E103F-EAB9-4A8A-B273-72389C0AC0E8}"/>
    <cellStyle name="20% - Accent3 3 5 3" xfId="5766" xr:uid="{00000000-0005-0000-0000-0000B2010000}"/>
    <cellStyle name="20% - Accent3 3 5 3 2" xfId="14208" xr:uid="{86ECF7BA-E1DA-4FA3-B602-F9066362C798}"/>
    <cellStyle name="20% - Accent3 3 5 4" xfId="9990" xr:uid="{1A474199-7083-4BB2-A434-3D786F812FDA}"/>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11BF5D64-C4B6-4DD7-88A1-1FB4815D2FBD}"/>
    <cellStyle name="20% - Accent3 3 6 2 3" xfId="12548" xr:uid="{2ADABB29-F6AC-4CE5-9D4E-B0F52E6B6A0B}"/>
    <cellStyle name="20% - Accent3 3 6 3" xfId="6179" xr:uid="{00000000-0005-0000-0000-0000B6010000}"/>
    <cellStyle name="20% - Accent3 3 6 3 2" xfId="14621" xr:uid="{8283D871-E6FE-47A1-9E5E-105FB23FED6B}"/>
    <cellStyle name="20% - Accent3 3 6 4" xfId="10403" xr:uid="{12A32EEF-528D-4C68-82A1-74D9004F1E3B}"/>
    <cellStyle name="20% - Accent3 3 7" xfId="2285" xr:uid="{00000000-0005-0000-0000-0000B7010000}"/>
    <cellStyle name="20% - Accent3 3 7 2" xfId="6592" xr:uid="{00000000-0005-0000-0000-0000B8010000}"/>
    <cellStyle name="20% - Accent3 3 7 2 2" xfId="15034" xr:uid="{1BADA9C2-2E07-4DC2-A003-2E18E591A92F}"/>
    <cellStyle name="20% - Accent3 3 7 3" xfId="10816" xr:uid="{5A3569D9-5B30-4522-863F-9A58481693CE}"/>
    <cellStyle name="20% - Accent3 3 8" xfId="4526" xr:uid="{00000000-0005-0000-0000-0000B9010000}"/>
    <cellStyle name="20% - Accent3 3 8 2" xfId="12968" xr:uid="{161C0548-282F-4BD9-9BC2-72F70B431CC4}"/>
    <cellStyle name="20% - Accent3 3 9" xfId="8750" xr:uid="{3CB34057-32E0-4561-908D-BAD312986792}"/>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60EE8762-5E77-484D-93A0-3171E020CAFC}"/>
    <cellStyle name="20% - Accent3 4 2 2 3" xfId="11311" xr:uid="{F2252D83-DEFE-45AE-BC8D-4EBB17B7E8B5}"/>
    <cellStyle name="20% - Accent3 4 2 3" xfId="4942" xr:uid="{00000000-0005-0000-0000-0000BE010000}"/>
    <cellStyle name="20% - Accent3 4 2 3 2" xfId="13384" xr:uid="{02614868-3250-4A08-9604-05AA5BD5EA8E}"/>
    <cellStyle name="20% - Accent3 4 2 4" xfId="9166" xr:uid="{03A20F0D-EB4A-4EE1-A8E7-D4890B0ED528}"/>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B74164BF-B71C-4133-A62B-C322ED66BAE3}"/>
    <cellStyle name="20% - Accent3 4 3 2 3" xfId="11724" xr:uid="{2E33E795-A127-40EB-A122-DC41576CA6A3}"/>
    <cellStyle name="20% - Accent3 4 3 3" xfId="5355" xr:uid="{00000000-0005-0000-0000-0000C2010000}"/>
    <cellStyle name="20% - Accent3 4 3 3 2" xfId="13797" xr:uid="{86E03F52-2EA2-4A52-9448-6228F0C51303}"/>
    <cellStyle name="20% - Accent3 4 3 4" xfId="9579" xr:uid="{0958FEC9-5CFC-48EA-9DDF-F471344F86D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1A87BE1D-F15F-4E0A-9F6B-8B3E2076C50A}"/>
    <cellStyle name="20% - Accent3 4 4 2 3" xfId="12137" xr:uid="{C74B6DFE-EAF1-47DA-97F0-D6DDFC5E9885}"/>
    <cellStyle name="20% - Accent3 4 4 3" xfId="5768" xr:uid="{00000000-0005-0000-0000-0000C6010000}"/>
    <cellStyle name="20% - Accent3 4 4 3 2" xfId="14210" xr:uid="{A080CA62-8243-485E-AE9E-A0B8686F6D34}"/>
    <cellStyle name="20% - Accent3 4 4 4" xfId="9992" xr:uid="{E46BB678-350D-4582-8053-C9F787EA7B40}"/>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63A8152D-8336-4317-A929-1974F1C33E03}"/>
    <cellStyle name="20% - Accent3 4 5 2 3" xfId="12550" xr:uid="{49716349-FFEF-427A-953C-67E08CA76CEC}"/>
    <cellStyle name="20% - Accent3 4 5 3" xfId="6181" xr:uid="{00000000-0005-0000-0000-0000CA010000}"/>
    <cellStyle name="20% - Accent3 4 5 3 2" xfId="14623" xr:uid="{27661B8E-3028-4BD7-91AF-9F2EFEB29C7B}"/>
    <cellStyle name="20% - Accent3 4 5 4" xfId="10405" xr:uid="{7F429FCA-F9E9-4EC9-AF2E-DD5D7CBFF132}"/>
    <cellStyle name="20% - Accent3 4 6" xfId="2287" xr:uid="{00000000-0005-0000-0000-0000CB010000}"/>
    <cellStyle name="20% - Accent3 4 6 2" xfId="6594" xr:uid="{00000000-0005-0000-0000-0000CC010000}"/>
    <cellStyle name="20% - Accent3 4 6 2 2" xfId="15036" xr:uid="{BD5B0AE6-88F5-4457-88CD-26A12DA2CE03}"/>
    <cellStyle name="20% - Accent3 4 6 3" xfId="10818" xr:uid="{E86788A4-CF6C-4159-94CB-FD6B9A6D8133}"/>
    <cellStyle name="20% - Accent3 4 7" xfId="4528" xr:uid="{00000000-0005-0000-0000-0000CD010000}"/>
    <cellStyle name="20% - Accent3 4 7 2" xfId="12970" xr:uid="{D835D05E-0BC0-476F-817D-B4AA167D579B}"/>
    <cellStyle name="20% - Accent3 4 8" xfId="8752" xr:uid="{86CADCD4-A58E-4ECB-8F25-E5D673F6171E}"/>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098A1913-CF9D-4F2A-912B-EAE04B1014F8}"/>
    <cellStyle name="20% - Accent3 5 2 3" xfId="11304" xr:uid="{D7B58256-530B-4180-8823-AFAA8702728D}"/>
    <cellStyle name="20% - Accent3 5 3" xfId="4935" xr:uid="{00000000-0005-0000-0000-0000D1010000}"/>
    <cellStyle name="20% - Accent3 5 3 2" xfId="13377" xr:uid="{EF2A5A08-64AB-4526-8C9F-4CB10F31B354}"/>
    <cellStyle name="20% - Accent3 5 4" xfId="9159" xr:uid="{12FB6FC2-6A31-4725-B848-89F03ECD9887}"/>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B4C2C690-29B9-45B9-B5D5-D2FF3E7A222F}"/>
    <cellStyle name="20% - Accent3 6 2 3" xfId="11717" xr:uid="{B5402F53-48AF-47F7-A228-F7D6FDCEC520}"/>
    <cellStyle name="20% - Accent3 6 3" xfId="5348" xr:uid="{00000000-0005-0000-0000-0000D5010000}"/>
    <cellStyle name="20% - Accent3 6 3 2" xfId="13790" xr:uid="{44174EED-1A2D-43D1-BD5F-150602ED1546}"/>
    <cellStyle name="20% - Accent3 6 4" xfId="9572" xr:uid="{C1F38A53-5338-4FCC-98A1-641AFF248916}"/>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9C17D171-2330-438B-8B6F-BA03ACE39C44}"/>
    <cellStyle name="20% - Accent3 7 2 3" xfId="12130" xr:uid="{0CEADC45-6B75-4BBC-A54A-823C34847422}"/>
    <cellStyle name="20% - Accent3 7 3" xfId="5761" xr:uid="{00000000-0005-0000-0000-0000D9010000}"/>
    <cellStyle name="20% - Accent3 7 3 2" xfId="14203" xr:uid="{D399604F-962B-4881-81B6-162244122ACF}"/>
    <cellStyle name="20% - Accent3 7 4" xfId="9985" xr:uid="{7023EFAF-078F-48EA-844A-7E1FC9D40A46}"/>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C196FCDB-7C1D-4CC0-9222-3BC238BCFBF4}"/>
    <cellStyle name="20% - Accent3 8 2 3" xfId="12543" xr:uid="{F2F93170-52B0-4CA8-905B-940B75072547}"/>
    <cellStyle name="20% - Accent3 8 3" xfId="6174" xr:uid="{00000000-0005-0000-0000-0000DD010000}"/>
    <cellStyle name="20% - Accent3 8 3 2" xfId="14616" xr:uid="{45D52CB6-A1A3-4969-9A4A-609EE1902E9D}"/>
    <cellStyle name="20% - Accent3 8 4" xfId="10398" xr:uid="{A45A295C-01D2-470D-8F13-B4EFA6548A45}"/>
    <cellStyle name="20% - Accent3 9" xfId="2280" xr:uid="{00000000-0005-0000-0000-0000DE010000}"/>
    <cellStyle name="20% - Accent3 9 2" xfId="6587" xr:uid="{00000000-0005-0000-0000-0000DF010000}"/>
    <cellStyle name="20% - Accent3 9 2 2" xfId="15029" xr:uid="{F9A868B3-A899-4C4D-846A-75DCF1F52AAB}"/>
    <cellStyle name="20% - Accent3 9 3" xfId="10811" xr:uid="{440B54A7-3E8D-4A12-80CD-F1001341D72D}"/>
    <cellStyle name="20% - Accent4" xfId="25" builtinId="42" customBuiltin="1"/>
    <cellStyle name="20% - Accent4 10" xfId="4529" xr:uid="{00000000-0005-0000-0000-0000E1010000}"/>
    <cellStyle name="20% - Accent4 10 2" xfId="12971" xr:uid="{F464514C-1871-4A29-B6C9-01584B524808}"/>
    <cellStyle name="20% - Accent4 11" xfId="8753" xr:uid="{943FCE90-C3FB-421C-9C9F-25E1A91220C9}"/>
    <cellStyle name="20% - Accent4 2" xfId="26" xr:uid="{00000000-0005-0000-0000-0000E2010000}"/>
    <cellStyle name="20% - Accent4 2 10" xfId="8754" xr:uid="{5A40A232-4C45-409C-A979-90C46B559E6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E43720FD-3900-4B1C-BFAA-A7C664CBAC7A}"/>
    <cellStyle name="20% - Accent4 2 2 2 2 2 3" xfId="11315" xr:uid="{91011AD5-8DA0-40B1-922E-9B93409CD153}"/>
    <cellStyle name="20% - Accent4 2 2 2 2 3" xfId="4946" xr:uid="{00000000-0005-0000-0000-0000E8010000}"/>
    <cellStyle name="20% - Accent4 2 2 2 2 3 2" xfId="13388" xr:uid="{0CA1799F-B6CD-454B-8368-22DE7464C40D}"/>
    <cellStyle name="20% - Accent4 2 2 2 2 4" xfId="9170" xr:uid="{8194E425-02AF-4AD2-AC6B-F88D88B42645}"/>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9E05EDB4-FB5C-428D-9F1D-06C6DA8E329E}"/>
    <cellStyle name="20% - Accent4 2 2 2 3 2 3" xfId="11728" xr:uid="{226AE7B8-36AB-4068-900D-DF000C60DA1D}"/>
    <cellStyle name="20% - Accent4 2 2 2 3 3" xfId="5359" xr:uid="{00000000-0005-0000-0000-0000EC010000}"/>
    <cellStyle name="20% - Accent4 2 2 2 3 3 2" xfId="13801" xr:uid="{49258978-4375-40F1-A717-7345F4B1AC7F}"/>
    <cellStyle name="20% - Accent4 2 2 2 3 4" xfId="9583" xr:uid="{350A947A-9181-4A6A-82D1-C625C11251C2}"/>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C550ADDE-3C58-4B9F-B083-AD25675A5228}"/>
    <cellStyle name="20% - Accent4 2 2 2 4 2 3" xfId="12141" xr:uid="{E7DA0258-7404-49DE-9427-2D378125870E}"/>
    <cellStyle name="20% - Accent4 2 2 2 4 3" xfId="5772" xr:uid="{00000000-0005-0000-0000-0000F0010000}"/>
    <cellStyle name="20% - Accent4 2 2 2 4 3 2" xfId="14214" xr:uid="{FE350F45-F9A5-495B-A1FF-A7A543195450}"/>
    <cellStyle name="20% - Accent4 2 2 2 4 4" xfId="9996" xr:uid="{702BBCFD-415A-4DCA-9B1E-2A77A32B927D}"/>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FC8E574F-B7D0-47B7-9A78-8560F968E4D7}"/>
    <cellStyle name="20% - Accent4 2 2 2 5 2 3" xfId="12554" xr:uid="{194DDF6E-DF60-467F-A244-E92B7539FFF6}"/>
    <cellStyle name="20% - Accent4 2 2 2 5 3" xfId="6185" xr:uid="{00000000-0005-0000-0000-0000F4010000}"/>
    <cellStyle name="20% - Accent4 2 2 2 5 3 2" xfId="14627" xr:uid="{5C73C2BB-654B-4395-8553-AC66F01C0FAE}"/>
    <cellStyle name="20% - Accent4 2 2 2 5 4" xfId="10409" xr:uid="{E60CCEA5-570B-4F45-A64E-9A1BD7D81FF4}"/>
    <cellStyle name="20% - Accent4 2 2 2 6" xfId="2291" xr:uid="{00000000-0005-0000-0000-0000F5010000}"/>
    <cellStyle name="20% - Accent4 2 2 2 6 2" xfId="6598" xr:uid="{00000000-0005-0000-0000-0000F6010000}"/>
    <cellStyle name="20% - Accent4 2 2 2 6 2 2" xfId="15040" xr:uid="{697467A4-8FBD-4A70-82EB-614A89F8932C}"/>
    <cellStyle name="20% - Accent4 2 2 2 6 3" xfId="10822" xr:uid="{2AFFD71B-EE47-447E-BDF2-34DD932E1568}"/>
    <cellStyle name="20% - Accent4 2 2 2 7" xfId="4532" xr:uid="{00000000-0005-0000-0000-0000F7010000}"/>
    <cellStyle name="20% - Accent4 2 2 2 7 2" xfId="12974" xr:uid="{F931452A-A03E-4B04-8AFC-EF19C4D21866}"/>
    <cellStyle name="20% - Accent4 2 2 2 8" xfId="8756" xr:uid="{BBAE837C-5613-4BB0-BF67-30D53BD890F9}"/>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343B6CD5-B8F2-461E-A3FE-26E743A2D176}"/>
    <cellStyle name="20% - Accent4 2 2 3 2 3" xfId="11314" xr:uid="{F75FDB31-2A70-4F77-A8B1-B0452942F406}"/>
    <cellStyle name="20% - Accent4 2 2 3 3" xfId="4945" xr:uid="{00000000-0005-0000-0000-0000FB010000}"/>
    <cellStyle name="20% - Accent4 2 2 3 3 2" xfId="13387" xr:uid="{E4256182-7AFD-4965-A347-DB86E64D4E54}"/>
    <cellStyle name="20% - Accent4 2 2 3 4" xfId="9169" xr:uid="{965BFB80-BDA1-48DF-948D-321B9C2B63E5}"/>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3F075E3C-B247-4DA7-8766-9DB4D780A356}"/>
    <cellStyle name="20% - Accent4 2 2 4 2 3" xfId="11727" xr:uid="{2B907C9F-318F-4E88-BD37-8B117F84BCB8}"/>
    <cellStyle name="20% - Accent4 2 2 4 3" xfId="5358" xr:uid="{00000000-0005-0000-0000-0000FF010000}"/>
    <cellStyle name="20% - Accent4 2 2 4 3 2" xfId="13800" xr:uid="{15563E5A-B1DC-4689-AF0D-B9661F4642DC}"/>
    <cellStyle name="20% - Accent4 2 2 4 4" xfId="9582" xr:uid="{DDE3CF50-9612-4425-9AB4-672306D419D5}"/>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2B4D583C-12DE-4803-9C5E-943B2BCDF7F9}"/>
    <cellStyle name="20% - Accent4 2 2 5 2 3" xfId="12140" xr:uid="{A02CFECA-5A10-4ED9-8089-5AFACED757AD}"/>
    <cellStyle name="20% - Accent4 2 2 5 3" xfId="5771" xr:uid="{00000000-0005-0000-0000-000003020000}"/>
    <cellStyle name="20% - Accent4 2 2 5 3 2" xfId="14213" xr:uid="{C338F6F1-806F-497F-AB47-F68EC1F8B566}"/>
    <cellStyle name="20% - Accent4 2 2 5 4" xfId="9995" xr:uid="{A3CEE1E3-B832-43AB-BF87-E21ED96D0451}"/>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8D9F61E4-A32D-4D9F-B826-76531813F9E5}"/>
    <cellStyle name="20% - Accent4 2 2 6 2 3" xfId="12553" xr:uid="{34DA633F-B2C9-4FD3-81B3-5937E162DF2B}"/>
    <cellStyle name="20% - Accent4 2 2 6 3" xfId="6184" xr:uid="{00000000-0005-0000-0000-000007020000}"/>
    <cellStyle name="20% - Accent4 2 2 6 3 2" xfId="14626" xr:uid="{9664FC7D-86DA-432B-95B8-F305D7185AF9}"/>
    <cellStyle name="20% - Accent4 2 2 6 4" xfId="10408" xr:uid="{FB005F90-B9ED-4450-AA4A-67523645E196}"/>
    <cellStyle name="20% - Accent4 2 2 7" xfId="2290" xr:uid="{00000000-0005-0000-0000-000008020000}"/>
    <cellStyle name="20% - Accent4 2 2 7 2" xfId="6597" xr:uid="{00000000-0005-0000-0000-000009020000}"/>
    <cellStyle name="20% - Accent4 2 2 7 2 2" xfId="15039" xr:uid="{F53E2ED8-A8F2-41EC-B7C1-6751D4897936}"/>
    <cellStyle name="20% - Accent4 2 2 7 3" xfId="10821" xr:uid="{CB1FA8F3-85D1-48ED-BD46-FC42C29A663C}"/>
    <cellStyle name="20% - Accent4 2 2 8" xfId="4531" xr:uid="{00000000-0005-0000-0000-00000A020000}"/>
    <cellStyle name="20% - Accent4 2 2 8 2" xfId="12973" xr:uid="{97EA6F40-F2B8-440D-AD21-2B94BDB9EE45}"/>
    <cellStyle name="20% - Accent4 2 2 9" xfId="8755" xr:uid="{1B115F73-ACA6-4F2A-B251-0D5464F4CD92}"/>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DD5EBF0F-8D1A-48E2-AF0E-90FD34B5C42C}"/>
    <cellStyle name="20% - Accent4 2 3 2 2 3" xfId="11316" xr:uid="{431F26FF-0352-4531-92C2-F2EB340B5CAD}"/>
    <cellStyle name="20% - Accent4 2 3 2 3" xfId="4947" xr:uid="{00000000-0005-0000-0000-00000F020000}"/>
    <cellStyle name="20% - Accent4 2 3 2 3 2" xfId="13389" xr:uid="{08624CCC-1ACC-41A1-AC46-00FEE5F95FCC}"/>
    <cellStyle name="20% - Accent4 2 3 2 4" xfId="9171" xr:uid="{A3CD96FA-3FB3-4BAB-843A-762CED6E47D8}"/>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87CA442C-927F-437F-BCAE-6C77FEDAA9A1}"/>
    <cellStyle name="20% - Accent4 2 3 3 2 3" xfId="11729" xr:uid="{BE81D13A-D822-4C21-9FE1-F5E1C1673970}"/>
    <cellStyle name="20% - Accent4 2 3 3 3" xfId="5360" xr:uid="{00000000-0005-0000-0000-000013020000}"/>
    <cellStyle name="20% - Accent4 2 3 3 3 2" xfId="13802" xr:uid="{D5616E1C-B741-4BDF-A952-FE25E4366AAE}"/>
    <cellStyle name="20% - Accent4 2 3 3 4" xfId="9584" xr:uid="{159BA120-AE2C-403C-A04F-6DC01621B60B}"/>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0D0C9F8D-43C2-429E-B607-017E4592A6D6}"/>
    <cellStyle name="20% - Accent4 2 3 4 2 3" xfId="12142" xr:uid="{6EE6EDAB-EC01-43F1-B768-D70A6F5F3F0A}"/>
    <cellStyle name="20% - Accent4 2 3 4 3" xfId="5773" xr:uid="{00000000-0005-0000-0000-000017020000}"/>
    <cellStyle name="20% - Accent4 2 3 4 3 2" xfId="14215" xr:uid="{2C2EC29A-22E3-47E3-802C-57746A5CC2E1}"/>
    <cellStyle name="20% - Accent4 2 3 4 4" xfId="9997" xr:uid="{E8D017C3-328C-4A0A-86B5-9DB00F702EEC}"/>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60FAFF3D-87E4-428E-A846-FFDA15BCBC22}"/>
    <cellStyle name="20% - Accent4 2 3 5 2 3" xfId="12555" xr:uid="{26BBB67F-B94D-41C6-9920-4A05D6DB9BC1}"/>
    <cellStyle name="20% - Accent4 2 3 5 3" xfId="6186" xr:uid="{00000000-0005-0000-0000-00001B020000}"/>
    <cellStyle name="20% - Accent4 2 3 5 3 2" xfId="14628" xr:uid="{CE86E0DB-5527-426D-88A5-379D3428B421}"/>
    <cellStyle name="20% - Accent4 2 3 5 4" xfId="10410" xr:uid="{9A2FEF71-315D-42D4-8737-3ED166EEB9DA}"/>
    <cellStyle name="20% - Accent4 2 3 6" xfId="2292" xr:uid="{00000000-0005-0000-0000-00001C020000}"/>
    <cellStyle name="20% - Accent4 2 3 6 2" xfId="6599" xr:uid="{00000000-0005-0000-0000-00001D020000}"/>
    <cellStyle name="20% - Accent4 2 3 6 2 2" xfId="15041" xr:uid="{89DAC79A-18D4-4EDE-9E24-0D3EA8ECAED4}"/>
    <cellStyle name="20% - Accent4 2 3 6 3" xfId="10823" xr:uid="{B4226AC3-0467-4185-906F-C7DC1C865755}"/>
    <cellStyle name="20% - Accent4 2 3 7" xfId="4533" xr:uid="{00000000-0005-0000-0000-00001E020000}"/>
    <cellStyle name="20% - Accent4 2 3 7 2" xfId="12975" xr:uid="{FDE5895C-77CE-462A-B3A3-916BC6624BDA}"/>
    <cellStyle name="20% - Accent4 2 3 8" xfId="8757" xr:uid="{A09C5B69-6178-4AFB-9276-38D77F7C69DD}"/>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BC30FF1C-F8FF-4BA2-8D2A-A623F4CC18B2}"/>
    <cellStyle name="20% - Accent4 2 4 2 3" xfId="11313" xr:uid="{0B64FF5A-DACC-438F-9157-D439BFD636E5}"/>
    <cellStyle name="20% - Accent4 2 4 3" xfId="4944" xr:uid="{00000000-0005-0000-0000-000022020000}"/>
    <cellStyle name="20% - Accent4 2 4 3 2" xfId="13386" xr:uid="{98D81603-926B-4247-AF5A-CF6771A652DE}"/>
    <cellStyle name="20% - Accent4 2 4 4" xfId="9168" xr:uid="{0CA2212F-0540-4537-834E-6F0C93610AB3}"/>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5FD41168-38BF-4718-81A6-4E85098908CA}"/>
    <cellStyle name="20% - Accent4 2 5 2 3" xfId="11726" xr:uid="{4606A605-71D0-44ED-AC15-E4A4F5A0B2C8}"/>
    <cellStyle name="20% - Accent4 2 5 3" xfId="5357" xr:uid="{00000000-0005-0000-0000-000026020000}"/>
    <cellStyle name="20% - Accent4 2 5 3 2" xfId="13799" xr:uid="{598D54ED-B7A2-48BB-A101-E08DBB5AD259}"/>
    <cellStyle name="20% - Accent4 2 5 4" xfId="9581" xr:uid="{5F3C9C96-F7BF-426A-A0A8-4223B9135E68}"/>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4E3646FD-B394-4941-8775-602F3095D4C0}"/>
    <cellStyle name="20% - Accent4 2 6 2 3" xfId="12139" xr:uid="{AF0F5D84-022A-456B-A4D8-7C25D88D9CA7}"/>
    <cellStyle name="20% - Accent4 2 6 3" xfId="5770" xr:uid="{00000000-0005-0000-0000-00002A020000}"/>
    <cellStyle name="20% - Accent4 2 6 3 2" xfId="14212" xr:uid="{DAF72301-E0A8-4611-B4D9-EAC9B8B6A940}"/>
    <cellStyle name="20% - Accent4 2 6 4" xfId="9994" xr:uid="{FD02E05A-2EA7-4F14-AAA7-107EFEAED011}"/>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C803DB4D-8759-4E00-8511-5661C353647A}"/>
    <cellStyle name="20% - Accent4 2 7 2 3" xfId="12552" xr:uid="{67980D51-57CD-4F71-86D6-2C67ECB6D4FF}"/>
    <cellStyle name="20% - Accent4 2 7 3" xfId="6183" xr:uid="{00000000-0005-0000-0000-00002E020000}"/>
    <cellStyle name="20% - Accent4 2 7 3 2" xfId="14625" xr:uid="{9D3D3567-32D6-43BB-B6B8-303E7AA48925}"/>
    <cellStyle name="20% - Accent4 2 7 4" xfId="10407" xr:uid="{3DBDEB84-B176-4305-B592-40475D5FFCCF}"/>
    <cellStyle name="20% - Accent4 2 8" xfId="2289" xr:uid="{00000000-0005-0000-0000-00002F020000}"/>
    <cellStyle name="20% - Accent4 2 8 2" xfId="6596" xr:uid="{00000000-0005-0000-0000-000030020000}"/>
    <cellStyle name="20% - Accent4 2 8 2 2" xfId="15038" xr:uid="{63E25218-F335-4712-8EF3-9A76E13466DF}"/>
    <cellStyle name="20% - Accent4 2 8 3" xfId="10820" xr:uid="{54FF4FB9-F89B-4A93-A8E4-5024F4322724}"/>
    <cellStyle name="20% - Accent4 2 9" xfId="4530" xr:uid="{00000000-0005-0000-0000-000031020000}"/>
    <cellStyle name="20% - Accent4 2 9 2" xfId="12972" xr:uid="{15847D02-C406-4BC4-A1AB-109EEAA4561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46932A9B-11A0-4FE7-BA18-FB4F6BD9CEE0}"/>
    <cellStyle name="20% - Accent4 3 2 2 2 3" xfId="11318" xr:uid="{390FDE47-3036-43F7-850B-DBF29D27849D}"/>
    <cellStyle name="20% - Accent4 3 2 2 3" xfId="4949" xr:uid="{00000000-0005-0000-0000-000037020000}"/>
    <cellStyle name="20% - Accent4 3 2 2 3 2" xfId="13391" xr:uid="{AE46F952-405F-4EC9-B496-BDDD0505F679}"/>
    <cellStyle name="20% - Accent4 3 2 2 4" xfId="9173" xr:uid="{06343310-2F08-4CEB-84FD-76090721E3A8}"/>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81233117-D80D-4DBB-BF60-8F4EAB7BED03}"/>
    <cellStyle name="20% - Accent4 3 2 3 2 3" xfId="11731" xr:uid="{FF255237-A083-4D26-9854-31EEB0C9714D}"/>
    <cellStyle name="20% - Accent4 3 2 3 3" xfId="5362" xr:uid="{00000000-0005-0000-0000-00003B020000}"/>
    <cellStyle name="20% - Accent4 3 2 3 3 2" xfId="13804" xr:uid="{0414169C-E0D6-41A4-85DE-13DEBB614E0E}"/>
    <cellStyle name="20% - Accent4 3 2 3 4" xfId="9586" xr:uid="{E9270DC5-3C3A-4188-BA7C-D5F0EE8EE359}"/>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227389B2-6F05-4F91-8704-ECF87C344BA3}"/>
    <cellStyle name="20% - Accent4 3 2 4 2 3" xfId="12144" xr:uid="{F7938F75-1658-42AD-B0C7-9AD0C240657B}"/>
    <cellStyle name="20% - Accent4 3 2 4 3" xfId="5775" xr:uid="{00000000-0005-0000-0000-00003F020000}"/>
    <cellStyle name="20% - Accent4 3 2 4 3 2" xfId="14217" xr:uid="{1DAB48A7-CD8D-43A0-83CF-98416753184F}"/>
    <cellStyle name="20% - Accent4 3 2 4 4" xfId="9999" xr:uid="{BAC81EE1-D9B4-461E-8E39-9AED771FD78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E12036F7-282D-4396-838E-497B51A2E1F9}"/>
    <cellStyle name="20% - Accent4 3 2 5 2 3" xfId="12557" xr:uid="{0E3574DA-D193-4677-A12C-3D7CEF96D879}"/>
    <cellStyle name="20% - Accent4 3 2 5 3" xfId="6188" xr:uid="{00000000-0005-0000-0000-000043020000}"/>
    <cellStyle name="20% - Accent4 3 2 5 3 2" xfId="14630" xr:uid="{E3A85CD0-65FE-4DB9-A603-0016DD6D24B4}"/>
    <cellStyle name="20% - Accent4 3 2 5 4" xfId="10412" xr:uid="{2A192AED-6143-43FA-9B2A-7780035B41B9}"/>
    <cellStyle name="20% - Accent4 3 2 6" xfId="2294" xr:uid="{00000000-0005-0000-0000-000044020000}"/>
    <cellStyle name="20% - Accent4 3 2 6 2" xfId="6601" xr:uid="{00000000-0005-0000-0000-000045020000}"/>
    <cellStyle name="20% - Accent4 3 2 6 2 2" xfId="15043" xr:uid="{B5000AA8-D272-438A-AC1E-9661DBC1C1F3}"/>
    <cellStyle name="20% - Accent4 3 2 6 3" xfId="10825" xr:uid="{AFF74094-17C4-4752-BAB9-BD64C025BE4C}"/>
    <cellStyle name="20% - Accent4 3 2 7" xfId="4535" xr:uid="{00000000-0005-0000-0000-000046020000}"/>
    <cellStyle name="20% - Accent4 3 2 7 2" xfId="12977" xr:uid="{DD451E47-C6B1-4644-A98C-A79DD0BCCA3E}"/>
    <cellStyle name="20% - Accent4 3 2 8" xfId="8759" xr:uid="{846E67A0-AAC6-4E71-9219-BD8FF5B0B323}"/>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35F368DB-5086-4ABC-8E51-11A2210D0836}"/>
    <cellStyle name="20% - Accent4 3 3 2 3" xfId="11317" xr:uid="{EFC90FE4-5DD0-43AF-954B-F7797013D662}"/>
    <cellStyle name="20% - Accent4 3 3 3" xfId="4948" xr:uid="{00000000-0005-0000-0000-00004A020000}"/>
    <cellStyle name="20% - Accent4 3 3 3 2" xfId="13390" xr:uid="{148AF376-D2F0-4044-9B45-617EA6EECA6F}"/>
    <cellStyle name="20% - Accent4 3 3 4" xfId="9172" xr:uid="{6348581A-BDDD-42BB-8E7F-9D3BC0C2ABCA}"/>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85DFA93F-4163-44AB-9B18-B292AA004FBE}"/>
    <cellStyle name="20% - Accent4 3 4 2 3" xfId="11730" xr:uid="{04E5CC61-B7A0-474C-A3FC-55E7DBBE09DA}"/>
    <cellStyle name="20% - Accent4 3 4 3" xfId="5361" xr:uid="{00000000-0005-0000-0000-00004E020000}"/>
    <cellStyle name="20% - Accent4 3 4 3 2" xfId="13803" xr:uid="{FAD7849A-5393-4BFB-BE5B-E26094F0609D}"/>
    <cellStyle name="20% - Accent4 3 4 4" xfId="9585" xr:uid="{C25A9D98-9BE5-4046-9BC6-663240B3004F}"/>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33E06B75-3194-48F1-939B-586B2E7AF9EA}"/>
    <cellStyle name="20% - Accent4 3 5 2 3" xfId="12143" xr:uid="{89AE4F44-9C48-4D47-B2A3-59456CB17E65}"/>
    <cellStyle name="20% - Accent4 3 5 3" xfId="5774" xr:uid="{00000000-0005-0000-0000-000052020000}"/>
    <cellStyle name="20% - Accent4 3 5 3 2" xfId="14216" xr:uid="{0456A99D-CADB-4274-80F0-254C7CBA4A38}"/>
    <cellStyle name="20% - Accent4 3 5 4" xfId="9998" xr:uid="{9A2527C2-C47A-4491-9C29-02911C59B505}"/>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738E38CC-2D85-4500-9581-04B00FA436A2}"/>
    <cellStyle name="20% - Accent4 3 6 2 3" xfId="12556" xr:uid="{60724BEF-70A6-43DC-84B6-37E04FD958D5}"/>
    <cellStyle name="20% - Accent4 3 6 3" xfId="6187" xr:uid="{00000000-0005-0000-0000-000056020000}"/>
    <cellStyle name="20% - Accent4 3 6 3 2" xfId="14629" xr:uid="{6F8BE3B9-8BAC-4772-977B-DB96C0D199B5}"/>
    <cellStyle name="20% - Accent4 3 6 4" xfId="10411" xr:uid="{08DC9325-A2AB-4D9E-A65E-3EC84A63A906}"/>
    <cellStyle name="20% - Accent4 3 7" xfId="2293" xr:uid="{00000000-0005-0000-0000-000057020000}"/>
    <cellStyle name="20% - Accent4 3 7 2" xfId="6600" xr:uid="{00000000-0005-0000-0000-000058020000}"/>
    <cellStyle name="20% - Accent4 3 7 2 2" xfId="15042" xr:uid="{6E631A03-9F6F-429C-96D3-AD1E6849B42F}"/>
    <cellStyle name="20% - Accent4 3 7 3" xfId="10824" xr:uid="{C9EC82F2-CAEF-492D-8697-355234200E3B}"/>
    <cellStyle name="20% - Accent4 3 8" xfId="4534" xr:uid="{00000000-0005-0000-0000-000059020000}"/>
    <cellStyle name="20% - Accent4 3 8 2" xfId="12976" xr:uid="{29B8250E-8BFB-4745-826A-FB4B3F445290}"/>
    <cellStyle name="20% - Accent4 3 9" xfId="8758" xr:uid="{1E238E60-E3D8-4F7A-A78A-EBAEF8BA8CA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5470ED13-C11E-4F65-8CA3-B1F3571E393A}"/>
    <cellStyle name="20% - Accent4 4 2 2 3" xfId="11319" xr:uid="{5C500302-C1C8-4F1A-A820-C4CE5624E234}"/>
    <cellStyle name="20% - Accent4 4 2 3" xfId="4950" xr:uid="{00000000-0005-0000-0000-00005E020000}"/>
    <cellStyle name="20% - Accent4 4 2 3 2" xfId="13392" xr:uid="{F20F3F9F-E328-4606-9152-F96CAD58C72F}"/>
    <cellStyle name="20% - Accent4 4 2 4" xfId="9174" xr:uid="{2041D9B3-E8AF-4BDE-B6B3-31EE651E719C}"/>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6B541227-0E8E-4F5D-BB39-646BF19FC1B4}"/>
    <cellStyle name="20% - Accent4 4 3 2 3" xfId="11732" xr:uid="{5180EE03-6A46-4722-8F0F-56CAA3BC0107}"/>
    <cellStyle name="20% - Accent4 4 3 3" xfId="5363" xr:uid="{00000000-0005-0000-0000-000062020000}"/>
    <cellStyle name="20% - Accent4 4 3 3 2" xfId="13805" xr:uid="{007C3986-A196-439C-89DF-CDC4781FCA1A}"/>
    <cellStyle name="20% - Accent4 4 3 4" xfId="9587" xr:uid="{9BE15534-61D7-4C81-B1F3-BC04A468CE54}"/>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DB1E80A2-FCFC-42B4-A74C-4C3AC22DD7FE}"/>
    <cellStyle name="20% - Accent4 4 4 2 3" xfId="12145" xr:uid="{0646C1B2-C115-444E-A185-D24084C2A1B3}"/>
    <cellStyle name="20% - Accent4 4 4 3" xfId="5776" xr:uid="{00000000-0005-0000-0000-000066020000}"/>
    <cellStyle name="20% - Accent4 4 4 3 2" xfId="14218" xr:uid="{552A7116-E0C2-4BFD-9171-7F202DFC45F0}"/>
    <cellStyle name="20% - Accent4 4 4 4" xfId="10000" xr:uid="{BBDC5849-6865-4109-8578-A9BF7B0667C3}"/>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29A4BFDB-1EA5-434E-BFF1-42D8C40E5B5E}"/>
    <cellStyle name="20% - Accent4 4 5 2 3" xfId="12558" xr:uid="{E81F98FE-DA3B-4F93-A5F7-368EC132B33E}"/>
    <cellStyle name="20% - Accent4 4 5 3" xfId="6189" xr:uid="{00000000-0005-0000-0000-00006A020000}"/>
    <cellStyle name="20% - Accent4 4 5 3 2" xfId="14631" xr:uid="{6B28002F-732E-4939-BBED-7277C935E961}"/>
    <cellStyle name="20% - Accent4 4 5 4" xfId="10413" xr:uid="{F8560267-9E13-4100-BF1A-5D94AEAFF9B7}"/>
    <cellStyle name="20% - Accent4 4 6" xfId="2295" xr:uid="{00000000-0005-0000-0000-00006B020000}"/>
    <cellStyle name="20% - Accent4 4 6 2" xfId="6602" xr:uid="{00000000-0005-0000-0000-00006C020000}"/>
    <cellStyle name="20% - Accent4 4 6 2 2" xfId="15044" xr:uid="{D586C08C-E0B9-4F96-8CAA-F7225B11D33C}"/>
    <cellStyle name="20% - Accent4 4 6 3" xfId="10826" xr:uid="{A00F2188-FEA3-40F3-A2E0-7619B21DCCD5}"/>
    <cellStyle name="20% - Accent4 4 7" xfId="4536" xr:uid="{00000000-0005-0000-0000-00006D020000}"/>
    <cellStyle name="20% - Accent4 4 7 2" xfId="12978" xr:uid="{E87A133B-4091-4397-BF00-B4F48EF8B113}"/>
    <cellStyle name="20% - Accent4 4 8" xfId="8760" xr:uid="{F5D8129A-30B7-4F19-BAC0-F3187115BF5D}"/>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9A72E229-6706-4ECF-9C21-0F1C7B255FD1}"/>
    <cellStyle name="20% - Accent4 5 2 3" xfId="11312" xr:uid="{73D7653D-C5FE-469E-A642-7F1219C6E6B9}"/>
    <cellStyle name="20% - Accent4 5 3" xfId="4943" xr:uid="{00000000-0005-0000-0000-000071020000}"/>
    <cellStyle name="20% - Accent4 5 3 2" xfId="13385" xr:uid="{147F9598-D124-4221-92DA-75FCEECC0E9F}"/>
    <cellStyle name="20% - Accent4 5 4" xfId="9167" xr:uid="{D1C57913-E02B-465D-8389-613E1C059547}"/>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C9CB51A7-C0ED-490C-95C2-E67DB8E418C5}"/>
    <cellStyle name="20% - Accent4 6 2 3" xfId="11725" xr:uid="{4B0E3A79-C266-4D33-BF59-424860FB02C4}"/>
    <cellStyle name="20% - Accent4 6 3" xfId="5356" xr:uid="{00000000-0005-0000-0000-000075020000}"/>
    <cellStyle name="20% - Accent4 6 3 2" xfId="13798" xr:uid="{5D77CEEA-FC7E-4BDA-B6D4-8FD86CF036AC}"/>
    <cellStyle name="20% - Accent4 6 4" xfId="9580" xr:uid="{C33CBDF0-CEDE-44AB-853C-E23156C72DE8}"/>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D04C9253-019A-4D9C-8DB6-FF80502CDD07}"/>
    <cellStyle name="20% - Accent4 7 2 3" xfId="12138" xr:uid="{068D6339-F058-465D-B1D3-39877D0B8CA7}"/>
    <cellStyle name="20% - Accent4 7 3" xfId="5769" xr:uid="{00000000-0005-0000-0000-000079020000}"/>
    <cellStyle name="20% - Accent4 7 3 2" xfId="14211" xr:uid="{B78CA319-F08F-485F-8742-201160F38402}"/>
    <cellStyle name="20% - Accent4 7 4" xfId="9993" xr:uid="{9FBF2963-35CC-498E-9599-5E9ED20096F4}"/>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F7528B76-320A-4A57-B844-D305D7C2503A}"/>
    <cellStyle name="20% - Accent4 8 2 3" xfId="12551" xr:uid="{D9225080-C66B-472D-80ED-A40BFD96A799}"/>
    <cellStyle name="20% - Accent4 8 3" xfId="6182" xr:uid="{00000000-0005-0000-0000-00007D020000}"/>
    <cellStyle name="20% - Accent4 8 3 2" xfId="14624" xr:uid="{84AE091B-28A0-4A5A-9F1B-BB27A04411A8}"/>
    <cellStyle name="20% - Accent4 8 4" xfId="10406" xr:uid="{77FFD228-FC68-4709-A52E-284B010B4108}"/>
    <cellStyle name="20% - Accent4 9" xfId="2288" xr:uid="{00000000-0005-0000-0000-00007E020000}"/>
    <cellStyle name="20% - Accent4 9 2" xfId="6595" xr:uid="{00000000-0005-0000-0000-00007F020000}"/>
    <cellStyle name="20% - Accent4 9 2 2" xfId="15037" xr:uid="{5D39B878-8BAF-4DA2-8841-9CBD033AB6C6}"/>
    <cellStyle name="20% - Accent4 9 3" xfId="10819" xr:uid="{1D4C0F49-B5DC-4F5A-AD83-256BBA8912DF}"/>
    <cellStyle name="20% - Accent5" xfId="33" builtinId="46" customBuiltin="1"/>
    <cellStyle name="20% - Accent5 10" xfId="4537" xr:uid="{00000000-0005-0000-0000-000081020000}"/>
    <cellStyle name="20% - Accent5 10 2" xfId="12979" xr:uid="{8A115D6D-0BB1-406E-A66B-2EA15357F175}"/>
    <cellStyle name="20% - Accent5 11" xfId="8761" xr:uid="{05A9564E-94F4-4091-87B9-C369CF00FD34}"/>
    <cellStyle name="20% - Accent5 2" xfId="34" xr:uid="{00000000-0005-0000-0000-000082020000}"/>
    <cellStyle name="20% - Accent5 2 10" xfId="8762" xr:uid="{05C3E519-21CD-4B03-B2F0-39D00BFC4E9C}"/>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BB7B4202-3FBC-4754-83D0-43477C1CF0CB}"/>
    <cellStyle name="20% - Accent5 2 2 2 2 2 3" xfId="11323" xr:uid="{71C45D0E-09A4-4F9A-8B0E-2BDDADA853A6}"/>
    <cellStyle name="20% - Accent5 2 2 2 2 3" xfId="4954" xr:uid="{00000000-0005-0000-0000-000088020000}"/>
    <cellStyle name="20% - Accent5 2 2 2 2 3 2" xfId="13396" xr:uid="{519431FC-AF7B-4923-BE55-867771937512}"/>
    <cellStyle name="20% - Accent5 2 2 2 2 4" xfId="9178" xr:uid="{97A8CE25-35BF-430F-9568-44F0C01729B8}"/>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4D985566-A9B6-40D0-B13C-5BA15DF5DDBB}"/>
    <cellStyle name="20% - Accent5 2 2 2 3 2 3" xfId="11736" xr:uid="{5E9F47F0-CC43-4965-A6F2-5FBF00AA6365}"/>
    <cellStyle name="20% - Accent5 2 2 2 3 3" xfId="5367" xr:uid="{00000000-0005-0000-0000-00008C020000}"/>
    <cellStyle name="20% - Accent5 2 2 2 3 3 2" xfId="13809" xr:uid="{168E4071-47A7-40FE-AF59-185DCE14C9A5}"/>
    <cellStyle name="20% - Accent5 2 2 2 3 4" xfId="9591" xr:uid="{054823D2-CF94-499B-B500-44EED7ED3E7A}"/>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0C33BB8B-8100-4958-9581-F12299F9797A}"/>
    <cellStyle name="20% - Accent5 2 2 2 4 2 3" xfId="12149" xr:uid="{7F9AF22B-ADFC-48DE-90AD-D6087264A71D}"/>
    <cellStyle name="20% - Accent5 2 2 2 4 3" xfId="5780" xr:uid="{00000000-0005-0000-0000-000090020000}"/>
    <cellStyle name="20% - Accent5 2 2 2 4 3 2" xfId="14222" xr:uid="{CBD309A7-D313-403F-A3A8-48AA0942FBC3}"/>
    <cellStyle name="20% - Accent5 2 2 2 4 4" xfId="10004" xr:uid="{FED08E8B-B6F3-481F-8DFF-704CE6576B54}"/>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F5EC0905-38D4-461E-998C-90F74019AAB6}"/>
    <cellStyle name="20% - Accent5 2 2 2 5 2 3" xfId="12562" xr:uid="{4B0082AF-0AA4-4A41-B049-49F95987F4D2}"/>
    <cellStyle name="20% - Accent5 2 2 2 5 3" xfId="6193" xr:uid="{00000000-0005-0000-0000-000094020000}"/>
    <cellStyle name="20% - Accent5 2 2 2 5 3 2" xfId="14635" xr:uid="{B88EE2D2-3D3C-4DDB-A907-9F9A8E44646A}"/>
    <cellStyle name="20% - Accent5 2 2 2 5 4" xfId="10417" xr:uid="{D6845587-E4F1-4EB5-8D54-2EC9312DB26A}"/>
    <cellStyle name="20% - Accent5 2 2 2 6" xfId="2299" xr:uid="{00000000-0005-0000-0000-000095020000}"/>
    <cellStyle name="20% - Accent5 2 2 2 6 2" xfId="6606" xr:uid="{00000000-0005-0000-0000-000096020000}"/>
    <cellStyle name="20% - Accent5 2 2 2 6 2 2" xfId="15048" xr:uid="{4B27609E-DB4D-4D2A-A877-93F59454760A}"/>
    <cellStyle name="20% - Accent5 2 2 2 6 3" xfId="10830" xr:uid="{E886ECDE-82E8-4736-A58C-0412B1674E68}"/>
    <cellStyle name="20% - Accent5 2 2 2 7" xfId="4540" xr:uid="{00000000-0005-0000-0000-000097020000}"/>
    <cellStyle name="20% - Accent5 2 2 2 7 2" xfId="12982" xr:uid="{E38B5AFB-B544-40A6-A2D8-8504A3EA3B4B}"/>
    <cellStyle name="20% - Accent5 2 2 2 8" xfId="8764" xr:uid="{6060402D-F3CE-4241-99A3-2C40740A253A}"/>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93BAC8EF-F837-4922-9DE6-BBB333578016}"/>
    <cellStyle name="20% - Accent5 2 2 3 2 3" xfId="11322" xr:uid="{4E9D1695-3AE9-4F44-9F2B-B3CC232143F0}"/>
    <cellStyle name="20% - Accent5 2 2 3 3" xfId="4953" xr:uid="{00000000-0005-0000-0000-00009B020000}"/>
    <cellStyle name="20% - Accent5 2 2 3 3 2" xfId="13395" xr:uid="{1EB3E74B-17CF-40C9-B347-53A8ECFCE1A0}"/>
    <cellStyle name="20% - Accent5 2 2 3 4" xfId="9177" xr:uid="{15F14A53-89C1-4EC6-8FB5-54F818C48751}"/>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1561EF73-4CFC-4D29-8D3F-330F184FBD2F}"/>
    <cellStyle name="20% - Accent5 2 2 4 2 3" xfId="11735" xr:uid="{36377FD1-1BCF-466B-B93E-8C1C4D040EA0}"/>
    <cellStyle name="20% - Accent5 2 2 4 3" xfId="5366" xr:uid="{00000000-0005-0000-0000-00009F020000}"/>
    <cellStyle name="20% - Accent5 2 2 4 3 2" xfId="13808" xr:uid="{155301FB-EF46-412B-B792-CD54BE5A13E4}"/>
    <cellStyle name="20% - Accent5 2 2 4 4" xfId="9590" xr:uid="{6CF818A3-39E5-4D49-997E-7A15BFF7CED7}"/>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4D1B522A-46BB-4CEC-9972-AEBFC0D56AC3}"/>
    <cellStyle name="20% - Accent5 2 2 5 2 3" xfId="12148" xr:uid="{FC1B9988-680A-4E37-BA21-72D6DD0F6030}"/>
    <cellStyle name="20% - Accent5 2 2 5 3" xfId="5779" xr:uid="{00000000-0005-0000-0000-0000A3020000}"/>
    <cellStyle name="20% - Accent5 2 2 5 3 2" xfId="14221" xr:uid="{E280A5E7-3CEC-4789-8436-10A2D0470FDC}"/>
    <cellStyle name="20% - Accent5 2 2 5 4" xfId="10003" xr:uid="{F706672F-2ACD-4CB5-AF04-0698D0CDC557}"/>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909B57BA-E049-4AE9-A52D-19C98DFB1A0B}"/>
    <cellStyle name="20% - Accent5 2 2 6 2 3" xfId="12561" xr:uid="{69594EC2-6593-43D4-9D16-0040B81210ED}"/>
    <cellStyle name="20% - Accent5 2 2 6 3" xfId="6192" xr:uid="{00000000-0005-0000-0000-0000A7020000}"/>
    <cellStyle name="20% - Accent5 2 2 6 3 2" xfId="14634" xr:uid="{C49FAAE3-AD15-45E2-80BA-4307A0267F1D}"/>
    <cellStyle name="20% - Accent5 2 2 6 4" xfId="10416" xr:uid="{B0C705D1-FD3E-427E-9EEB-7754180F9C52}"/>
    <cellStyle name="20% - Accent5 2 2 7" xfId="2298" xr:uid="{00000000-0005-0000-0000-0000A8020000}"/>
    <cellStyle name="20% - Accent5 2 2 7 2" xfId="6605" xr:uid="{00000000-0005-0000-0000-0000A9020000}"/>
    <cellStyle name="20% - Accent5 2 2 7 2 2" xfId="15047" xr:uid="{1A70752C-A1B7-4F57-A842-D5B53252F9C1}"/>
    <cellStyle name="20% - Accent5 2 2 7 3" xfId="10829" xr:uid="{55752237-40A3-462C-B070-04F1B88A08E1}"/>
    <cellStyle name="20% - Accent5 2 2 8" xfId="4539" xr:uid="{00000000-0005-0000-0000-0000AA020000}"/>
    <cellStyle name="20% - Accent5 2 2 8 2" xfId="12981" xr:uid="{04E104E8-C85C-46A4-9AC4-43F0CDC49D8E}"/>
    <cellStyle name="20% - Accent5 2 2 9" xfId="8763" xr:uid="{896441F8-5419-4F63-A7CE-6392BB4F35B2}"/>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6003CDBC-9925-44B8-B30B-39CA3B83101E}"/>
    <cellStyle name="20% - Accent5 2 3 2 2 3" xfId="11324" xr:uid="{2BE95C9C-1D19-480F-87FE-F28CEBF247DA}"/>
    <cellStyle name="20% - Accent5 2 3 2 3" xfId="4955" xr:uid="{00000000-0005-0000-0000-0000AF020000}"/>
    <cellStyle name="20% - Accent5 2 3 2 3 2" xfId="13397" xr:uid="{8C31B5EC-C5D6-46A5-AFC4-5E78E7865291}"/>
    <cellStyle name="20% - Accent5 2 3 2 4" xfId="9179" xr:uid="{CEEFBAEC-0504-4B78-AEE0-49A62A8B0AF5}"/>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C84ACAF8-A35A-431E-9D8E-B257445F8C49}"/>
    <cellStyle name="20% - Accent5 2 3 3 2 3" xfId="11737" xr:uid="{6426BD53-B229-40A3-B3F6-62C10730B840}"/>
    <cellStyle name="20% - Accent5 2 3 3 3" xfId="5368" xr:uid="{00000000-0005-0000-0000-0000B3020000}"/>
    <cellStyle name="20% - Accent5 2 3 3 3 2" xfId="13810" xr:uid="{B41BAC1A-8AB8-4B32-83F3-37C8FE67537C}"/>
    <cellStyle name="20% - Accent5 2 3 3 4" xfId="9592" xr:uid="{27FBBE10-8561-4098-82C6-045EE616DF54}"/>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C47E1FE0-F49E-4C31-BCE3-5FA675E87D69}"/>
    <cellStyle name="20% - Accent5 2 3 4 2 3" xfId="12150" xr:uid="{FCADBB1C-9A60-484B-A8C1-3FBF59DEB777}"/>
    <cellStyle name="20% - Accent5 2 3 4 3" xfId="5781" xr:uid="{00000000-0005-0000-0000-0000B7020000}"/>
    <cellStyle name="20% - Accent5 2 3 4 3 2" xfId="14223" xr:uid="{AC70B590-4FDC-4B1E-8375-8E656CDD1162}"/>
    <cellStyle name="20% - Accent5 2 3 4 4" xfId="10005" xr:uid="{119DE8BA-D59F-463D-BCA2-D11BD731A38C}"/>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FFF47A61-7F3F-4BE7-A5CB-01D2F88F8580}"/>
    <cellStyle name="20% - Accent5 2 3 5 2 3" xfId="12563" xr:uid="{8899423F-FB90-4659-BA1A-7B07615D717F}"/>
    <cellStyle name="20% - Accent5 2 3 5 3" xfId="6194" xr:uid="{00000000-0005-0000-0000-0000BB020000}"/>
    <cellStyle name="20% - Accent5 2 3 5 3 2" xfId="14636" xr:uid="{7DC3FCD2-86B6-483E-A145-62C3B90E1A5C}"/>
    <cellStyle name="20% - Accent5 2 3 5 4" xfId="10418" xr:uid="{3BB42D28-9071-4D41-8D79-CA3278894CE2}"/>
    <cellStyle name="20% - Accent5 2 3 6" xfId="2300" xr:uid="{00000000-0005-0000-0000-0000BC020000}"/>
    <cellStyle name="20% - Accent5 2 3 6 2" xfId="6607" xr:uid="{00000000-0005-0000-0000-0000BD020000}"/>
    <cellStyle name="20% - Accent5 2 3 6 2 2" xfId="15049" xr:uid="{6AB24AAF-8669-4034-B893-348CA7BB34FF}"/>
    <cellStyle name="20% - Accent5 2 3 6 3" xfId="10831" xr:uid="{4D18E9B7-12B3-4DF2-903B-84BB54CB687B}"/>
    <cellStyle name="20% - Accent5 2 3 7" xfId="4541" xr:uid="{00000000-0005-0000-0000-0000BE020000}"/>
    <cellStyle name="20% - Accent5 2 3 7 2" xfId="12983" xr:uid="{8F3052D9-48E2-4F9D-B613-86F016D9B92C}"/>
    <cellStyle name="20% - Accent5 2 3 8" xfId="8765" xr:uid="{40E1568D-5A78-4D97-9B9D-E60027D39744}"/>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1708C804-5AD3-490A-856C-8C5987745B35}"/>
    <cellStyle name="20% - Accent5 2 4 2 3" xfId="11321" xr:uid="{1F33A173-B441-42C1-881E-AB5BA272B86A}"/>
    <cellStyle name="20% - Accent5 2 4 3" xfId="4952" xr:uid="{00000000-0005-0000-0000-0000C2020000}"/>
    <cellStyle name="20% - Accent5 2 4 3 2" xfId="13394" xr:uid="{C8951E33-2288-4A8A-9F90-B68134062EAD}"/>
    <cellStyle name="20% - Accent5 2 4 4" xfId="9176" xr:uid="{53845CC6-B5AB-4BFC-B93C-B290C927A4C0}"/>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FFF76640-BD48-4533-BE3D-47A43E0B72BC}"/>
    <cellStyle name="20% - Accent5 2 5 2 3" xfId="11734" xr:uid="{272BDE98-A353-426F-B466-308431EA96F8}"/>
    <cellStyle name="20% - Accent5 2 5 3" xfId="5365" xr:uid="{00000000-0005-0000-0000-0000C6020000}"/>
    <cellStyle name="20% - Accent5 2 5 3 2" xfId="13807" xr:uid="{2124BEE7-A1A3-4FEB-9630-700CC403C164}"/>
    <cellStyle name="20% - Accent5 2 5 4" xfId="9589" xr:uid="{C0E2D327-DEFA-402B-BAE8-7FBA6781671A}"/>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D90A9D9A-AE15-4D0A-A0A2-FB4848795454}"/>
    <cellStyle name="20% - Accent5 2 6 2 3" xfId="12147" xr:uid="{942EF93D-7EF8-450F-9D29-9A9811AC66C5}"/>
    <cellStyle name="20% - Accent5 2 6 3" xfId="5778" xr:uid="{00000000-0005-0000-0000-0000CA020000}"/>
    <cellStyle name="20% - Accent5 2 6 3 2" xfId="14220" xr:uid="{CA846F3C-641B-44F9-81C6-B22B259389D0}"/>
    <cellStyle name="20% - Accent5 2 6 4" xfId="10002" xr:uid="{E7D775C1-948B-4187-908D-2FD10EAD58C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17956C59-E8B5-4292-B7E4-CA6D40852DF0}"/>
    <cellStyle name="20% - Accent5 2 7 2 3" xfId="12560" xr:uid="{AD3FBBE2-9110-4CBE-85CC-0E6A4B311F8A}"/>
    <cellStyle name="20% - Accent5 2 7 3" xfId="6191" xr:uid="{00000000-0005-0000-0000-0000CE020000}"/>
    <cellStyle name="20% - Accent5 2 7 3 2" xfId="14633" xr:uid="{8CE6E444-072D-4288-B1C2-FE9C68006845}"/>
    <cellStyle name="20% - Accent5 2 7 4" xfId="10415" xr:uid="{20E072CA-2F91-4632-9DF7-42D0BDFE1EA9}"/>
    <cellStyle name="20% - Accent5 2 8" xfId="2297" xr:uid="{00000000-0005-0000-0000-0000CF020000}"/>
    <cellStyle name="20% - Accent5 2 8 2" xfId="6604" xr:uid="{00000000-0005-0000-0000-0000D0020000}"/>
    <cellStyle name="20% - Accent5 2 8 2 2" xfId="15046" xr:uid="{B6BFB007-9768-4577-B0DD-3BD1B17F6EE4}"/>
    <cellStyle name="20% - Accent5 2 8 3" xfId="10828" xr:uid="{A08582FF-507B-4A53-863A-6B22ACC63479}"/>
    <cellStyle name="20% - Accent5 2 9" xfId="4538" xr:uid="{00000000-0005-0000-0000-0000D1020000}"/>
    <cellStyle name="20% - Accent5 2 9 2" xfId="12980" xr:uid="{B918509A-BE98-4460-B4EB-210B50C8CB7E}"/>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3306F995-DA64-4A97-A441-376E17D61E8D}"/>
    <cellStyle name="20% - Accent5 3 2 2 2 3" xfId="11326" xr:uid="{162F8608-0574-456E-AD3C-70F119FD5E98}"/>
    <cellStyle name="20% - Accent5 3 2 2 3" xfId="4957" xr:uid="{00000000-0005-0000-0000-0000D7020000}"/>
    <cellStyle name="20% - Accent5 3 2 2 3 2" xfId="13399" xr:uid="{A6D4AE0A-018D-4600-B6AE-5DA1B50AA2B6}"/>
    <cellStyle name="20% - Accent5 3 2 2 4" xfId="9181" xr:uid="{CF75CD6F-7DFA-4C43-ABD6-AB5C11CA51C5}"/>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0589CB34-8BE0-4CAB-AF8A-1ABAB7F3A0E1}"/>
    <cellStyle name="20% - Accent5 3 2 3 2 3" xfId="11739" xr:uid="{1B9B3834-AE93-48BB-BFFA-692128F40D69}"/>
    <cellStyle name="20% - Accent5 3 2 3 3" xfId="5370" xr:uid="{00000000-0005-0000-0000-0000DB020000}"/>
    <cellStyle name="20% - Accent5 3 2 3 3 2" xfId="13812" xr:uid="{A6AC0DAD-2AEB-416B-876D-ADECA61F8596}"/>
    <cellStyle name="20% - Accent5 3 2 3 4" xfId="9594" xr:uid="{2A5B2D83-942E-4F19-B8A8-B45AE7BCA6FA}"/>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7F26785E-7697-4844-9DB8-3467D140ABE2}"/>
    <cellStyle name="20% - Accent5 3 2 4 2 3" xfId="12152" xr:uid="{E1313E79-3249-439E-B4E5-BE170C818619}"/>
    <cellStyle name="20% - Accent5 3 2 4 3" xfId="5783" xr:uid="{00000000-0005-0000-0000-0000DF020000}"/>
    <cellStyle name="20% - Accent5 3 2 4 3 2" xfId="14225" xr:uid="{D07CE958-4782-4745-98C0-5C277EE48A3D}"/>
    <cellStyle name="20% - Accent5 3 2 4 4" xfId="10007" xr:uid="{0101EFCB-2B33-4EB5-A17F-D66044A78C02}"/>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6CE9DA2C-4DD4-4395-961F-C0B0DF1EB45A}"/>
    <cellStyle name="20% - Accent5 3 2 5 2 3" xfId="12565" xr:uid="{16314CD8-39E3-4E89-ABA3-43B9D5B64540}"/>
    <cellStyle name="20% - Accent5 3 2 5 3" xfId="6196" xr:uid="{00000000-0005-0000-0000-0000E3020000}"/>
    <cellStyle name="20% - Accent5 3 2 5 3 2" xfId="14638" xr:uid="{4B0B73D7-2C27-4B55-BD31-17A6217623F5}"/>
    <cellStyle name="20% - Accent5 3 2 5 4" xfId="10420" xr:uid="{7AE1DB89-E0AB-42BE-A5D9-373C4F4C97CF}"/>
    <cellStyle name="20% - Accent5 3 2 6" xfId="2302" xr:uid="{00000000-0005-0000-0000-0000E4020000}"/>
    <cellStyle name="20% - Accent5 3 2 6 2" xfId="6609" xr:uid="{00000000-0005-0000-0000-0000E5020000}"/>
    <cellStyle name="20% - Accent5 3 2 6 2 2" xfId="15051" xr:uid="{3C8BF4E2-A558-4E39-A4AA-F09176A0BA72}"/>
    <cellStyle name="20% - Accent5 3 2 6 3" xfId="10833" xr:uid="{B76B4067-2927-4325-96A7-C7804DD4670F}"/>
    <cellStyle name="20% - Accent5 3 2 7" xfId="4543" xr:uid="{00000000-0005-0000-0000-0000E6020000}"/>
    <cellStyle name="20% - Accent5 3 2 7 2" xfId="12985" xr:uid="{992214DB-15B6-4D8C-B41B-7835DDE6D4CA}"/>
    <cellStyle name="20% - Accent5 3 2 8" xfId="8767" xr:uid="{C1A49320-431A-4BAE-AFFA-98F36D8ECC00}"/>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BDF5363A-02E7-46F9-9C89-BB1AB35CBDE8}"/>
    <cellStyle name="20% - Accent5 3 3 2 3" xfId="11325" xr:uid="{884DD834-8A0B-4A8D-8405-00C9CE10C032}"/>
    <cellStyle name="20% - Accent5 3 3 3" xfId="4956" xr:uid="{00000000-0005-0000-0000-0000EA020000}"/>
    <cellStyle name="20% - Accent5 3 3 3 2" xfId="13398" xr:uid="{DD829A8D-7369-4DDD-A94D-47EB9AA7F035}"/>
    <cellStyle name="20% - Accent5 3 3 4" xfId="9180" xr:uid="{D011AF07-B483-4461-BF6A-F7DC0AEB9BC0}"/>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DDF3434A-CB50-41E4-8CF0-81AB5BF64783}"/>
    <cellStyle name="20% - Accent5 3 4 2 3" xfId="11738" xr:uid="{9B36192F-FD0A-4E4C-A3AF-F7B5772BE99B}"/>
    <cellStyle name="20% - Accent5 3 4 3" xfId="5369" xr:uid="{00000000-0005-0000-0000-0000EE020000}"/>
    <cellStyle name="20% - Accent5 3 4 3 2" xfId="13811" xr:uid="{76CE961D-AF23-42FF-8A00-915113722006}"/>
    <cellStyle name="20% - Accent5 3 4 4" xfId="9593" xr:uid="{3982F90D-2705-47BD-8A91-4B29CC8E8CDE}"/>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D6A0387C-DF33-43F2-AF3A-68E7379F8EB4}"/>
    <cellStyle name="20% - Accent5 3 5 2 3" xfId="12151" xr:uid="{07C88CD4-BC53-4A82-B6A8-8C7805CB7C00}"/>
    <cellStyle name="20% - Accent5 3 5 3" xfId="5782" xr:uid="{00000000-0005-0000-0000-0000F2020000}"/>
    <cellStyle name="20% - Accent5 3 5 3 2" xfId="14224" xr:uid="{6A823E51-C5FE-4DC1-AD04-44B68DBA7417}"/>
    <cellStyle name="20% - Accent5 3 5 4" xfId="10006" xr:uid="{89023AD0-7704-416B-BA89-7F57776CA2F4}"/>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A0199E06-8341-40D2-A05B-7625AFF214BB}"/>
    <cellStyle name="20% - Accent5 3 6 2 3" xfId="12564" xr:uid="{07F8FC94-6B83-4B02-B89C-FC28817BCB28}"/>
    <cellStyle name="20% - Accent5 3 6 3" xfId="6195" xr:uid="{00000000-0005-0000-0000-0000F6020000}"/>
    <cellStyle name="20% - Accent5 3 6 3 2" xfId="14637" xr:uid="{8887BCEF-2345-41EF-9005-85EFFDD8739D}"/>
    <cellStyle name="20% - Accent5 3 6 4" xfId="10419" xr:uid="{7687A02A-E0C3-4E4E-85BB-049CA6621845}"/>
    <cellStyle name="20% - Accent5 3 7" xfId="2301" xr:uid="{00000000-0005-0000-0000-0000F7020000}"/>
    <cellStyle name="20% - Accent5 3 7 2" xfId="6608" xr:uid="{00000000-0005-0000-0000-0000F8020000}"/>
    <cellStyle name="20% - Accent5 3 7 2 2" xfId="15050" xr:uid="{5739ADCD-9A65-4592-BEA8-911FB3ADED25}"/>
    <cellStyle name="20% - Accent5 3 7 3" xfId="10832" xr:uid="{1E5C3767-5290-4804-B31A-1E5D3188276F}"/>
    <cellStyle name="20% - Accent5 3 8" xfId="4542" xr:uid="{00000000-0005-0000-0000-0000F9020000}"/>
    <cellStyle name="20% - Accent5 3 8 2" xfId="12984" xr:uid="{D4DFA350-3441-4AAE-AF00-F7132A13BDBB}"/>
    <cellStyle name="20% - Accent5 3 9" xfId="8766" xr:uid="{5D5C6EF1-C43A-4F3A-8DA5-8F3F13C19BAC}"/>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062BB80-73B5-4A68-997A-1E91614C97C2}"/>
    <cellStyle name="20% - Accent5 4 2 2 3" xfId="11327" xr:uid="{F13E29E9-0656-4536-A4F6-2779FAF0DF14}"/>
    <cellStyle name="20% - Accent5 4 2 3" xfId="4958" xr:uid="{00000000-0005-0000-0000-0000FE020000}"/>
    <cellStyle name="20% - Accent5 4 2 3 2" xfId="13400" xr:uid="{8E33EE62-7FA9-4175-AF4D-9E1A3E566F91}"/>
    <cellStyle name="20% - Accent5 4 2 4" xfId="9182" xr:uid="{B8C411C6-7DFA-49F5-A8A0-88922F0FA7E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E3D53526-E8A6-44AB-A064-B821C43EA428}"/>
    <cellStyle name="20% - Accent5 4 3 2 3" xfId="11740" xr:uid="{F426164F-81EA-40AF-B581-2BAEC6D3689F}"/>
    <cellStyle name="20% - Accent5 4 3 3" xfId="5371" xr:uid="{00000000-0005-0000-0000-000002030000}"/>
    <cellStyle name="20% - Accent5 4 3 3 2" xfId="13813" xr:uid="{C65D25C3-B96B-4B41-AB54-2FE14BF96509}"/>
    <cellStyle name="20% - Accent5 4 3 4" xfId="9595" xr:uid="{7EAC8610-6B4F-4570-83F0-DAA27EADD9E5}"/>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14D4674E-949B-453E-902F-35456951F35C}"/>
    <cellStyle name="20% - Accent5 4 4 2 3" xfId="12153" xr:uid="{E216EF52-49A6-49C3-A563-79B1908B218B}"/>
    <cellStyle name="20% - Accent5 4 4 3" xfId="5784" xr:uid="{00000000-0005-0000-0000-000006030000}"/>
    <cellStyle name="20% - Accent5 4 4 3 2" xfId="14226" xr:uid="{AF7DCBD6-CCCF-43DB-9F46-B5E3EB42E82F}"/>
    <cellStyle name="20% - Accent5 4 4 4" xfId="10008" xr:uid="{1BCFBE01-0F88-4DE6-B609-150057EA31F0}"/>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65BD459B-6925-4352-8D35-0D0B7C57DC20}"/>
    <cellStyle name="20% - Accent5 4 5 2 3" xfId="12566" xr:uid="{E0ABF641-113C-4D69-B884-EF80A6F87B2E}"/>
    <cellStyle name="20% - Accent5 4 5 3" xfId="6197" xr:uid="{00000000-0005-0000-0000-00000A030000}"/>
    <cellStyle name="20% - Accent5 4 5 3 2" xfId="14639" xr:uid="{F5FC01AC-379D-451D-8A45-6006A1A3785F}"/>
    <cellStyle name="20% - Accent5 4 5 4" xfId="10421" xr:uid="{66DA31BB-C968-4D52-8AF5-CCFD806BC611}"/>
    <cellStyle name="20% - Accent5 4 6" xfId="2303" xr:uid="{00000000-0005-0000-0000-00000B030000}"/>
    <cellStyle name="20% - Accent5 4 6 2" xfId="6610" xr:uid="{00000000-0005-0000-0000-00000C030000}"/>
    <cellStyle name="20% - Accent5 4 6 2 2" xfId="15052" xr:uid="{676F6E82-3835-4996-85FC-2478435CC7A2}"/>
    <cellStyle name="20% - Accent5 4 6 3" xfId="10834" xr:uid="{237CA11F-E8AF-43CC-B046-D057831460A7}"/>
    <cellStyle name="20% - Accent5 4 7" xfId="4544" xr:uid="{00000000-0005-0000-0000-00000D030000}"/>
    <cellStyle name="20% - Accent5 4 7 2" xfId="12986" xr:uid="{1F894AEB-1B88-4D2A-B268-FC796164E868}"/>
    <cellStyle name="20% - Accent5 4 8" xfId="8768" xr:uid="{65988E1F-BCDC-431D-B1A2-1BA543707A8A}"/>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165D0880-4E78-429B-B840-DD6DBB396758}"/>
    <cellStyle name="20% - Accent5 5 2 3" xfId="11320" xr:uid="{047675B1-0D59-4489-9429-012559F42295}"/>
    <cellStyle name="20% - Accent5 5 3" xfId="4951" xr:uid="{00000000-0005-0000-0000-000011030000}"/>
    <cellStyle name="20% - Accent5 5 3 2" xfId="13393" xr:uid="{DBE52943-6E62-4F73-B7BE-A964A0D134FD}"/>
    <cellStyle name="20% - Accent5 5 4" xfId="9175" xr:uid="{609BE2E1-6C7B-43E1-A9D9-DE2C76E3B854}"/>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C578E548-76FB-4070-9BD5-61764C0C22A2}"/>
    <cellStyle name="20% - Accent5 6 2 3" xfId="11733" xr:uid="{69070FF7-61FB-4801-94DF-8A4EFCD10762}"/>
    <cellStyle name="20% - Accent5 6 3" xfId="5364" xr:uid="{00000000-0005-0000-0000-000015030000}"/>
    <cellStyle name="20% - Accent5 6 3 2" xfId="13806" xr:uid="{0DA5E187-7AFD-4229-94AC-06EADE67025F}"/>
    <cellStyle name="20% - Accent5 6 4" xfId="9588" xr:uid="{5F75C02B-EB6A-4B37-93F4-4BBDE3767446}"/>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62ED69E0-3857-4348-B300-8E9F3C239CF0}"/>
    <cellStyle name="20% - Accent5 7 2 3" xfId="12146" xr:uid="{0E9A5253-4E9A-4FD6-BD08-013B705614A8}"/>
    <cellStyle name="20% - Accent5 7 3" xfId="5777" xr:uid="{00000000-0005-0000-0000-000019030000}"/>
    <cellStyle name="20% - Accent5 7 3 2" xfId="14219" xr:uid="{4A7134F6-88BF-4931-AFD1-E589DADA712E}"/>
    <cellStyle name="20% - Accent5 7 4" xfId="10001" xr:uid="{F7EA7ED0-92B2-4C21-8F71-9328330AABB9}"/>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0B1BF6DF-5B92-4FE6-A862-682297B542C5}"/>
    <cellStyle name="20% - Accent5 8 2 3" xfId="12559" xr:uid="{6D15F213-8724-4646-B3C8-C4F0E7E3FDC3}"/>
    <cellStyle name="20% - Accent5 8 3" xfId="6190" xr:uid="{00000000-0005-0000-0000-00001D030000}"/>
    <cellStyle name="20% - Accent5 8 3 2" xfId="14632" xr:uid="{4BDD7E0F-53A3-461C-97AF-5E3105431FBB}"/>
    <cellStyle name="20% - Accent5 8 4" xfId="10414" xr:uid="{F0824C17-C831-4C4E-84FF-B861FFB00B11}"/>
    <cellStyle name="20% - Accent5 9" xfId="2296" xr:uid="{00000000-0005-0000-0000-00001E030000}"/>
    <cellStyle name="20% - Accent5 9 2" xfId="6603" xr:uid="{00000000-0005-0000-0000-00001F030000}"/>
    <cellStyle name="20% - Accent5 9 2 2" xfId="15045" xr:uid="{7CE8ABA4-C576-4440-BEFA-EE8E56ACC79D}"/>
    <cellStyle name="20% - Accent5 9 3" xfId="10827" xr:uid="{B12B43C5-A1CA-47AD-AB55-A0C70D04B287}"/>
    <cellStyle name="20% - Accent6" xfId="41" builtinId="50" customBuiltin="1"/>
    <cellStyle name="20% - Accent6 10" xfId="4545" xr:uid="{00000000-0005-0000-0000-000021030000}"/>
    <cellStyle name="20% - Accent6 10 2" xfId="12987" xr:uid="{DF291EA3-679E-4915-96DE-22B9F67B0DBD}"/>
    <cellStyle name="20% - Accent6 11" xfId="8769" xr:uid="{1E5937AE-434D-4F6A-9DB7-F856B2EEE936}"/>
    <cellStyle name="20% - Accent6 2" xfId="42" xr:uid="{00000000-0005-0000-0000-000022030000}"/>
    <cellStyle name="20% - Accent6 2 10" xfId="8770" xr:uid="{68CCCD14-7E53-4692-B38A-C120FE1780EC}"/>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20091929-2B64-43D6-BA76-C23546E4B593}"/>
    <cellStyle name="20% - Accent6 2 2 2 2 2 3" xfId="11331" xr:uid="{828D20D9-43AF-47DC-B2A2-7E5B8530F527}"/>
    <cellStyle name="20% - Accent6 2 2 2 2 3" xfId="4962" xr:uid="{00000000-0005-0000-0000-000028030000}"/>
    <cellStyle name="20% - Accent6 2 2 2 2 3 2" xfId="13404" xr:uid="{E3FC175F-33D3-48FA-84E0-B0B82528106A}"/>
    <cellStyle name="20% - Accent6 2 2 2 2 4" xfId="9186" xr:uid="{4EC12E27-FC64-41A7-A301-BA3F903C79D1}"/>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345E567E-4470-4536-A201-C292D2F155FC}"/>
    <cellStyle name="20% - Accent6 2 2 2 3 2 3" xfId="11744" xr:uid="{6B18C947-24B2-4887-91D7-5F52F972D889}"/>
    <cellStyle name="20% - Accent6 2 2 2 3 3" xfId="5375" xr:uid="{00000000-0005-0000-0000-00002C030000}"/>
    <cellStyle name="20% - Accent6 2 2 2 3 3 2" xfId="13817" xr:uid="{5F62111B-F070-44A3-9E16-A45899AACF2A}"/>
    <cellStyle name="20% - Accent6 2 2 2 3 4" xfId="9599" xr:uid="{D6C3A700-F668-427F-84FF-BFFBB73B4F7F}"/>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76B775CB-926D-447A-A7E7-67E40962B04E}"/>
    <cellStyle name="20% - Accent6 2 2 2 4 2 3" xfId="12157" xr:uid="{B64A9144-4697-4144-A85A-F612E9D8F6C9}"/>
    <cellStyle name="20% - Accent6 2 2 2 4 3" xfId="5788" xr:uid="{00000000-0005-0000-0000-000030030000}"/>
    <cellStyle name="20% - Accent6 2 2 2 4 3 2" xfId="14230" xr:uid="{E3E5EBB8-B2A8-4B01-92C8-804E6B2FDCC2}"/>
    <cellStyle name="20% - Accent6 2 2 2 4 4" xfId="10012" xr:uid="{CD1B33BF-6D65-4FE1-974A-4718C70BAB93}"/>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A269C675-176B-4738-BF2B-1CB0D55DD75D}"/>
    <cellStyle name="20% - Accent6 2 2 2 5 2 3" xfId="12570" xr:uid="{D2CBA692-E4A5-4F0D-9AAE-EB1A1446E762}"/>
    <cellStyle name="20% - Accent6 2 2 2 5 3" xfId="6201" xr:uid="{00000000-0005-0000-0000-000034030000}"/>
    <cellStyle name="20% - Accent6 2 2 2 5 3 2" xfId="14643" xr:uid="{2CD8021A-5A93-4366-9488-6325D424489E}"/>
    <cellStyle name="20% - Accent6 2 2 2 5 4" xfId="10425" xr:uid="{E18179F7-0900-4EAA-BBC0-3A4DC9B7CCC9}"/>
    <cellStyle name="20% - Accent6 2 2 2 6" xfId="2307" xr:uid="{00000000-0005-0000-0000-000035030000}"/>
    <cellStyle name="20% - Accent6 2 2 2 6 2" xfId="6614" xr:uid="{00000000-0005-0000-0000-000036030000}"/>
    <cellStyle name="20% - Accent6 2 2 2 6 2 2" xfId="15056" xr:uid="{E221C552-D704-4E4E-B9E0-CFE212B51C01}"/>
    <cellStyle name="20% - Accent6 2 2 2 6 3" xfId="10838" xr:uid="{5AEA3DC4-EA71-4B29-8050-1512206243FC}"/>
    <cellStyle name="20% - Accent6 2 2 2 7" xfId="4548" xr:uid="{00000000-0005-0000-0000-000037030000}"/>
    <cellStyle name="20% - Accent6 2 2 2 7 2" xfId="12990" xr:uid="{383D7837-3782-460D-8110-86B585239648}"/>
    <cellStyle name="20% - Accent6 2 2 2 8" xfId="8772" xr:uid="{A8A08570-E837-491F-8D6F-A5EE3B9B2EEC}"/>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57D5AAB8-1B74-4370-B3D1-133ADC5CC5F5}"/>
    <cellStyle name="20% - Accent6 2 2 3 2 3" xfId="11330" xr:uid="{76AC590D-3C95-4455-B83F-1AE590E8BC4A}"/>
    <cellStyle name="20% - Accent6 2 2 3 3" xfId="4961" xr:uid="{00000000-0005-0000-0000-00003B030000}"/>
    <cellStyle name="20% - Accent6 2 2 3 3 2" xfId="13403" xr:uid="{6C2E7EC9-D63F-4A3A-8BDB-02DC02356426}"/>
    <cellStyle name="20% - Accent6 2 2 3 4" xfId="9185" xr:uid="{0BE3C522-C333-466B-92E3-0C202D11B7CD}"/>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EE26C39B-FBCA-4FA0-9ACE-247A77A90551}"/>
    <cellStyle name="20% - Accent6 2 2 4 2 3" xfId="11743" xr:uid="{24E08F83-6293-4028-8A32-E74BF5C9DE8C}"/>
    <cellStyle name="20% - Accent6 2 2 4 3" xfId="5374" xr:uid="{00000000-0005-0000-0000-00003F030000}"/>
    <cellStyle name="20% - Accent6 2 2 4 3 2" xfId="13816" xr:uid="{ED3B230B-163D-4D8E-8813-BAEED8B121F0}"/>
    <cellStyle name="20% - Accent6 2 2 4 4" xfId="9598" xr:uid="{82993EEB-67B7-4DC7-97E6-1F1527D38D93}"/>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44FA5D33-926F-454B-B30B-85327B0EFD31}"/>
    <cellStyle name="20% - Accent6 2 2 5 2 3" xfId="12156" xr:uid="{1692072A-48E5-4888-A39A-C3C1D9248A84}"/>
    <cellStyle name="20% - Accent6 2 2 5 3" xfId="5787" xr:uid="{00000000-0005-0000-0000-000043030000}"/>
    <cellStyle name="20% - Accent6 2 2 5 3 2" xfId="14229" xr:uid="{E8825AF3-232C-4DB4-BF56-87F557BD7C5C}"/>
    <cellStyle name="20% - Accent6 2 2 5 4" xfId="10011" xr:uid="{430F8EFC-F0C3-4CF1-8293-B71937C5BD9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3F70037B-349D-4B55-8451-2B8F8914E826}"/>
    <cellStyle name="20% - Accent6 2 2 6 2 3" xfId="12569" xr:uid="{6B9B591D-A13C-494E-A4FE-EA4157643AC4}"/>
    <cellStyle name="20% - Accent6 2 2 6 3" xfId="6200" xr:uid="{00000000-0005-0000-0000-000047030000}"/>
    <cellStyle name="20% - Accent6 2 2 6 3 2" xfId="14642" xr:uid="{29D5455E-3B66-4783-A357-4BD324D99908}"/>
    <cellStyle name="20% - Accent6 2 2 6 4" xfId="10424" xr:uid="{46FACF9B-63A2-421B-B530-BC57D428F0F4}"/>
    <cellStyle name="20% - Accent6 2 2 7" xfId="2306" xr:uid="{00000000-0005-0000-0000-000048030000}"/>
    <cellStyle name="20% - Accent6 2 2 7 2" xfId="6613" xr:uid="{00000000-0005-0000-0000-000049030000}"/>
    <cellStyle name="20% - Accent6 2 2 7 2 2" xfId="15055" xr:uid="{65562D34-B72F-4656-AD23-53F8B885CFF9}"/>
    <cellStyle name="20% - Accent6 2 2 7 3" xfId="10837" xr:uid="{DF77FF52-E424-4006-A976-3CE7155134AA}"/>
    <cellStyle name="20% - Accent6 2 2 8" xfId="4547" xr:uid="{00000000-0005-0000-0000-00004A030000}"/>
    <cellStyle name="20% - Accent6 2 2 8 2" xfId="12989" xr:uid="{DA114DB7-61B8-47B7-9685-96ED2501F969}"/>
    <cellStyle name="20% - Accent6 2 2 9" xfId="8771" xr:uid="{4ACB584A-5077-4326-A65E-F341E0154C62}"/>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2FA89043-C8D8-4949-8CA4-A7B385477D69}"/>
    <cellStyle name="20% - Accent6 2 3 2 2 3" xfId="11332" xr:uid="{0980C92B-0A14-47A0-A236-DCAD58A7654C}"/>
    <cellStyle name="20% - Accent6 2 3 2 3" xfId="4963" xr:uid="{00000000-0005-0000-0000-00004F030000}"/>
    <cellStyle name="20% - Accent6 2 3 2 3 2" xfId="13405" xr:uid="{520E61F3-7F95-4101-ACD7-AB82B3BFBEBD}"/>
    <cellStyle name="20% - Accent6 2 3 2 4" xfId="9187" xr:uid="{0F6177AF-3964-4560-B7D6-EE8887385F07}"/>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D2007564-5859-4BB3-8A9A-1B9DF5BA56D2}"/>
    <cellStyle name="20% - Accent6 2 3 3 2 3" xfId="11745" xr:uid="{0B4EB20D-4910-488B-A2EE-4A2C19A7414F}"/>
    <cellStyle name="20% - Accent6 2 3 3 3" xfId="5376" xr:uid="{00000000-0005-0000-0000-000053030000}"/>
    <cellStyle name="20% - Accent6 2 3 3 3 2" xfId="13818" xr:uid="{7FCFEF10-5124-45B9-B014-7C06EA2A726E}"/>
    <cellStyle name="20% - Accent6 2 3 3 4" xfId="9600" xr:uid="{231B30CC-15B5-4BED-A0DB-03728D981C2F}"/>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3A05A3DF-405C-4727-B92D-9F6485750E7F}"/>
    <cellStyle name="20% - Accent6 2 3 4 2 3" xfId="12158" xr:uid="{F6D40FE8-550C-4985-8D6E-0CACC2AA5EEF}"/>
    <cellStyle name="20% - Accent6 2 3 4 3" xfId="5789" xr:uid="{00000000-0005-0000-0000-000057030000}"/>
    <cellStyle name="20% - Accent6 2 3 4 3 2" xfId="14231" xr:uid="{FD09E577-3DAC-41D9-946B-9EBDFB7C9417}"/>
    <cellStyle name="20% - Accent6 2 3 4 4" xfId="10013" xr:uid="{146BC3D7-6715-4A44-875F-15B60300F25B}"/>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0F0198F4-597D-4579-85F6-AB872CB4F479}"/>
    <cellStyle name="20% - Accent6 2 3 5 2 3" xfId="12571" xr:uid="{5FE1C009-E811-4CCB-A39B-61C76C48F0D2}"/>
    <cellStyle name="20% - Accent6 2 3 5 3" xfId="6202" xr:uid="{00000000-0005-0000-0000-00005B030000}"/>
    <cellStyle name="20% - Accent6 2 3 5 3 2" xfId="14644" xr:uid="{3505539E-479C-45A4-AB77-F3DEF1D06D43}"/>
    <cellStyle name="20% - Accent6 2 3 5 4" xfId="10426" xr:uid="{742213FD-E79F-4C8F-82C3-EE041B17A62E}"/>
    <cellStyle name="20% - Accent6 2 3 6" xfId="2308" xr:uid="{00000000-0005-0000-0000-00005C030000}"/>
    <cellStyle name="20% - Accent6 2 3 6 2" xfId="6615" xr:uid="{00000000-0005-0000-0000-00005D030000}"/>
    <cellStyle name="20% - Accent6 2 3 6 2 2" xfId="15057" xr:uid="{17BF2E89-4818-425E-B32C-6DA9E080F974}"/>
    <cellStyle name="20% - Accent6 2 3 6 3" xfId="10839" xr:uid="{05FE927A-38CF-45E1-B07F-92BFC78635EE}"/>
    <cellStyle name="20% - Accent6 2 3 7" xfId="4549" xr:uid="{00000000-0005-0000-0000-00005E030000}"/>
    <cellStyle name="20% - Accent6 2 3 7 2" xfId="12991" xr:uid="{94DDF4C0-F545-4EEC-80ED-FF6B2731F9E7}"/>
    <cellStyle name="20% - Accent6 2 3 8" xfId="8773" xr:uid="{C77EBC5F-C338-4DFF-98FE-125ADC4AFEB9}"/>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5203BC9A-5A16-4CA1-9A9C-603C7A651D12}"/>
    <cellStyle name="20% - Accent6 2 4 2 3" xfId="11329" xr:uid="{80B127B3-1441-44E4-9CB8-B0A67EDBB9A7}"/>
    <cellStyle name="20% - Accent6 2 4 3" xfId="4960" xr:uid="{00000000-0005-0000-0000-000062030000}"/>
    <cellStyle name="20% - Accent6 2 4 3 2" xfId="13402" xr:uid="{A7EC550A-2BA3-428E-8C9F-C7662B8670DC}"/>
    <cellStyle name="20% - Accent6 2 4 4" xfId="9184" xr:uid="{0357C04D-DAA8-4790-9607-B6161E75FE1F}"/>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3912F985-0C2F-479D-A80B-52303F211C4A}"/>
    <cellStyle name="20% - Accent6 2 5 2 3" xfId="11742" xr:uid="{9D7A02FB-6800-4AC7-A608-2E1E9D82EEA8}"/>
    <cellStyle name="20% - Accent6 2 5 3" xfId="5373" xr:uid="{00000000-0005-0000-0000-000066030000}"/>
    <cellStyle name="20% - Accent6 2 5 3 2" xfId="13815" xr:uid="{9B5CF460-6AE3-4AD7-80E1-1C4C9FCFD488}"/>
    <cellStyle name="20% - Accent6 2 5 4" xfId="9597" xr:uid="{02C3431A-C5EF-4724-98AC-1FF8F72A2B5E}"/>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A225BA2E-863C-4AE0-BB9E-E056C8F813D8}"/>
    <cellStyle name="20% - Accent6 2 6 2 3" xfId="12155" xr:uid="{A7820365-9029-42A3-9578-A321260994EB}"/>
    <cellStyle name="20% - Accent6 2 6 3" xfId="5786" xr:uid="{00000000-0005-0000-0000-00006A030000}"/>
    <cellStyle name="20% - Accent6 2 6 3 2" xfId="14228" xr:uid="{28729619-D424-44F7-A1D8-A76BA51C0C7C}"/>
    <cellStyle name="20% - Accent6 2 6 4" xfId="10010" xr:uid="{1BBC9BFD-82FF-468C-8307-9DE81E00737F}"/>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AB1D5682-1306-4927-B610-6FFD7FA6B04C}"/>
    <cellStyle name="20% - Accent6 2 7 2 3" xfId="12568" xr:uid="{DE4099C1-3AED-4CCD-ABA0-0F222E5DF902}"/>
    <cellStyle name="20% - Accent6 2 7 3" xfId="6199" xr:uid="{00000000-0005-0000-0000-00006E030000}"/>
    <cellStyle name="20% - Accent6 2 7 3 2" xfId="14641" xr:uid="{C5D0E0CB-025F-4C8C-8951-8111E0DEC8A3}"/>
    <cellStyle name="20% - Accent6 2 7 4" xfId="10423" xr:uid="{2EF0651D-8818-4745-BD2A-0363CCAC9078}"/>
    <cellStyle name="20% - Accent6 2 8" xfId="2305" xr:uid="{00000000-0005-0000-0000-00006F030000}"/>
    <cellStyle name="20% - Accent6 2 8 2" xfId="6612" xr:uid="{00000000-0005-0000-0000-000070030000}"/>
    <cellStyle name="20% - Accent6 2 8 2 2" xfId="15054" xr:uid="{D1E9929B-AD7E-4D9C-B041-F58C80049CCC}"/>
    <cellStyle name="20% - Accent6 2 8 3" xfId="10836" xr:uid="{008E93A4-AA3A-476A-84D0-B154ABC1D1E8}"/>
    <cellStyle name="20% - Accent6 2 9" xfId="4546" xr:uid="{00000000-0005-0000-0000-000071030000}"/>
    <cellStyle name="20% - Accent6 2 9 2" xfId="12988" xr:uid="{35CE6849-C743-4E22-8613-23189ED65CAC}"/>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2C8FCCF3-CAED-4E1E-9716-E936644D5F25}"/>
    <cellStyle name="20% - Accent6 3 2 2 2 3" xfId="11334" xr:uid="{7D609E84-38EB-447F-92A2-94BD578F0BF6}"/>
    <cellStyle name="20% - Accent6 3 2 2 3" xfId="4965" xr:uid="{00000000-0005-0000-0000-000077030000}"/>
    <cellStyle name="20% - Accent6 3 2 2 3 2" xfId="13407" xr:uid="{DA05D27C-DE53-4B9F-8FD5-3C5C2A5EB335}"/>
    <cellStyle name="20% - Accent6 3 2 2 4" xfId="9189" xr:uid="{92365884-5B8F-4B7D-B656-34F7B3979C97}"/>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3E9FB426-A455-4FAA-B455-60BE410159CE}"/>
    <cellStyle name="20% - Accent6 3 2 3 2 3" xfId="11747" xr:uid="{861291DE-A4C0-4C2D-B579-999205F5D900}"/>
    <cellStyle name="20% - Accent6 3 2 3 3" xfId="5378" xr:uid="{00000000-0005-0000-0000-00007B030000}"/>
    <cellStyle name="20% - Accent6 3 2 3 3 2" xfId="13820" xr:uid="{66DDA09A-A00B-48F0-8E91-E8ED7C9ACF94}"/>
    <cellStyle name="20% - Accent6 3 2 3 4" xfId="9602" xr:uid="{D1F4ECD9-1F61-47F6-BE09-4CC39EDE275F}"/>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7C685C1F-C301-4AAF-80AE-E3A16CFB8306}"/>
    <cellStyle name="20% - Accent6 3 2 4 2 3" xfId="12160" xr:uid="{8E9C57BD-7989-40D9-AE95-D38E7CBBCD81}"/>
    <cellStyle name="20% - Accent6 3 2 4 3" xfId="5791" xr:uid="{00000000-0005-0000-0000-00007F030000}"/>
    <cellStyle name="20% - Accent6 3 2 4 3 2" xfId="14233" xr:uid="{88A76EDB-DE1F-4884-9DDF-065FD4D6753B}"/>
    <cellStyle name="20% - Accent6 3 2 4 4" xfId="10015" xr:uid="{34F02249-87F9-41DC-8CA8-478B5149E1A5}"/>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00CCBF0F-4128-4206-A863-DAEF9D2C324C}"/>
    <cellStyle name="20% - Accent6 3 2 5 2 3" xfId="12573" xr:uid="{A223DD40-1664-4968-9F6D-BA335BA55FE1}"/>
    <cellStyle name="20% - Accent6 3 2 5 3" xfId="6204" xr:uid="{00000000-0005-0000-0000-000083030000}"/>
    <cellStyle name="20% - Accent6 3 2 5 3 2" xfId="14646" xr:uid="{8EBA31EE-38FF-4118-9ED3-17DDC4052337}"/>
    <cellStyle name="20% - Accent6 3 2 5 4" xfId="10428" xr:uid="{BFD08175-D052-4F09-BB5B-C58AFFBDD3CD}"/>
    <cellStyle name="20% - Accent6 3 2 6" xfId="2310" xr:uid="{00000000-0005-0000-0000-000084030000}"/>
    <cellStyle name="20% - Accent6 3 2 6 2" xfId="6617" xr:uid="{00000000-0005-0000-0000-000085030000}"/>
    <cellStyle name="20% - Accent6 3 2 6 2 2" xfId="15059" xr:uid="{1A5DAE39-23EA-4A80-BB35-6A5B58BA9F6B}"/>
    <cellStyle name="20% - Accent6 3 2 6 3" xfId="10841" xr:uid="{2E39FC29-09AD-4D87-B296-6CD25B066BD7}"/>
    <cellStyle name="20% - Accent6 3 2 7" xfId="4551" xr:uid="{00000000-0005-0000-0000-000086030000}"/>
    <cellStyle name="20% - Accent6 3 2 7 2" xfId="12993" xr:uid="{1AF54C5D-7209-4186-AF75-AE9CC921CC69}"/>
    <cellStyle name="20% - Accent6 3 2 8" xfId="8775" xr:uid="{A53F53C7-6ACB-43DF-BD02-9594271757AF}"/>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6175BEB1-8AB8-4573-8014-095C7EDC8410}"/>
    <cellStyle name="20% - Accent6 3 3 2 3" xfId="11333" xr:uid="{030C5C26-3AEE-4C35-BD7B-370D0C79AB29}"/>
    <cellStyle name="20% - Accent6 3 3 3" xfId="4964" xr:uid="{00000000-0005-0000-0000-00008A030000}"/>
    <cellStyle name="20% - Accent6 3 3 3 2" xfId="13406" xr:uid="{29B5D0D8-1010-48FF-A160-21E0AF823C1C}"/>
    <cellStyle name="20% - Accent6 3 3 4" xfId="9188" xr:uid="{1D1D042B-984C-4A3B-9381-7658BCBB0DD4}"/>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2AA2353C-34D4-4674-821A-169AF4D6A1CE}"/>
    <cellStyle name="20% - Accent6 3 4 2 3" xfId="11746" xr:uid="{AC5F2E17-98BB-4D8C-9780-42DA7D76AA03}"/>
    <cellStyle name="20% - Accent6 3 4 3" xfId="5377" xr:uid="{00000000-0005-0000-0000-00008E030000}"/>
    <cellStyle name="20% - Accent6 3 4 3 2" xfId="13819" xr:uid="{52A8CB90-FB9B-4A55-AB2D-515D97AB15C1}"/>
    <cellStyle name="20% - Accent6 3 4 4" xfId="9601" xr:uid="{F90627B9-CF2F-4FF8-B0E5-9DB11111AE4E}"/>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C0F2110A-B7BA-4F7F-9D1E-59BC20D12717}"/>
    <cellStyle name="20% - Accent6 3 5 2 3" xfId="12159" xr:uid="{BCCA3E39-3231-4A3F-9FDA-EACEAD265EDE}"/>
    <cellStyle name="20% - Accent6 3 5 3" xfId="5790" xr:uid="{00000000-0005-0000-0000-000092030000}"/>
    <cellStyle name="20% - Accent6 3 5 3 2" xfId="14232" xr:uid="{2D9129DE-0669-4A0C-BC80-F7924FD2475E}"/>
    <cellStyle name="20% - Accent6 3 5 4" xfId="10014" xr:uid="{89624507-D689-45AF-A2B2-74075F1671CB}"/>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1687423B-8851-4A44-A2A5-412DA623C4D1}"/>
    <cellStyle name="20% - Accent6 3 6 2 3" xfId="12572" xr:uid="{57ED07D0-BE66-419F-AE01-655C7FD9F916}"/>
    <cellStyle name="20% - Accent6 3 6 3" xfId="6203" xr:uid="{00000000-0005-0000-0000-000096030000}"/>
    <cellStyle name="20% - Accent6 3 6 3 2" xfId="14645" xr:uid="{45537E52-12C9-42A5-A943-59F164D0EA52}"/>
    <cellStyle name="20% - Accent6 3 6 4" xfId="10427" xr:uid="{E396A0F6-ACAB-45C3-9B9E-235C5BD4866E}"/>
    <cellStyle name="20% - Accent6 3 7" xfId="2309" xr:uid="{00000000-0005-0000-0000-000097030000}"/>
    <cellStyle name="20% - Accent6 3 7 2" xfId="6616" xr:uid="{00000000-0005-0000-0000-000098030000}"/>
    <cellStyle name="20% - Accent6 3 7 2 2" xfId="15058" xr:uid="{26E1A508-81A1-498D-B383-159A61AA7C0F}"/>
    <cellStyle name="20% - Accent6 3 7 3" xfId="10840" xr:uid="{FD99DA88-5EDF-4EB7-BC4C-8818AFA8BDFB}"/>
    <cellStyle name="20% - Accent6 3 8" xfId="4550" xr:uid="{00000000-0005-0000-0000-000099030000}"/>
    <cellStyle name="20% - Accent6 3 8 2" xfId="12992" xr:uid="{15AA27E8-7D34-4822-95E3-E2FDDEE79B43}"/>
    <cellStyle name="20% - Accent6 3 9" xfId="8774" xr:uid="{08738D91-FFDA-4C2F-B754-758BB44943D2}"/>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0A37D8DD-ECCC-4862-9323-B0A31A882D82}"/>
    <cellStyle name="20% - Accent6 4 2 2 3" xfId="11335" xr:uid="{2A75C961-48B3-464F-9961-970CFD2C9811}"/>
    <cellStyle name="20% - Accent6 4 2 3" xfId="4966" xr:uid="{00000000-0005-0000-0000-00009E030000}"/>
    <cellStyle name="20% - Accent6 4 2 3 2" xfId="13408" xr:uid="{6FE7D4B7-A2E1-446C-9DE6-C8AE0B17F6C2}"/>
    <cellStyle name="20% - Accent6 4 2 4" xfId="9190" xr:uid="{B463D61E-71EC-4DD2-897A-AA2269A47F3B}"/>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73206B3B-1301-4C9E-B35C-BD3991DA6745}"/>
    <cellStyle name="20% - Accent6 4 3 2 3" xfId="11748" xr:uid="{D900B6CC-67F4-4700-B555-8A2C7777AB7F}"/>
    <cellStyle name="20% - Accent6 4 3 3" xfId="5379" xr:uid="{00000000-0005-0000-0000-0000A2030000}"/>
    <cellStyle name="20% - Accent6 4 3 3 2" xfId="13821" xr:uid="{37F36D78-8D94-427D-B91E-7F802B5B1146}"/>
    <cellStyle name="20% - Accent6 4 3 4" xfId="9603" xr:uid="{CBBC69C5-974D-4C17-93B7-D5D0AC5EACBB}"/>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40387A4C-C4BB-4C88-AD20-25989AB37E19}"/>
    <cellStyle name="20% - Accent6 4 4 2 3" xfId="12161" xr:uid="{F1CF3C8E-345F-4EA5-B00B-677DF34DE4C4}"/>
    <cellStyle name="20% - Accent6 4 4 3" xfId="5792" xr:uid="{00000000-0005-0000-0000-0000A6030000}"/>
    <cellStyle name="20% - Accent6 4 4 3 2" xfId="14234" xr:uid="{1673EA16-CE4C-433A-BF39-AB23A6B48E38}"/>
    <cellStyle name="20% - Accent6 4 4 4" xfId="10016" xr:uid="{F9161BE4-6176-48D4-9CAD-0D53101FAB77}"/>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9BD3E14E-F0B8-4C0C-A357-DD9E0074AC21}"/>
    <cellStyle name="20% - Accent6 4 5 2 3" xfId="12574" xr:uid="{6DEEB2C8-FEE6-4056-B61A-268552EF4501}"/>
    <cellStyle name="20% - Accent6 4 5 3" xfId="6205" xr:uid="{00000000-0005-0000-0000-0000AA030000}"/>
    <cellStyle name="20% - Accent6 4 5 3 2" xfId="14647" xr:uid="{4F6ED31C-1925-4A5C-BFB2-F4B863DD62EC}"/>
    <cellStyle name="20% - Accent6 4 5 4" xfId="10429" xr:uid="{55A735DF-A070-40F8-A1CF-DBBC119B6D78}"/>
    <cellStyle name="20% - Accent6 4 6" xfId="2311" xr:uid="{00000000-0005-0000-0000-0000AB030000}"/>
    <cellStyle name="20% - Accent6 4 6 2" xfId="6618" xr:uid="{00000000-0005-0000-0000-0000AC030000}"/>
    <cellStyle name="20% - Accent6 4 6 2 2" xfId="15060" xr:uid="{5BCE101C-29AD-4DCC-8C66-0699F4337AA3}"/>
    <cellStyle name="20% - Accent6 4 6 3" xfId="10842" xr:uid="{03DB4435-F365-4D86-B168-D011D984DE01}"/>
    <cellStyle name="20% - Accent6 4 7" xfId="4552" xr:uid="{00000000-0005-0000-0000-0000AD030000}"/>
    <cellStyle name="20% - Accent6 4 7 2" xfId="12994" xr:uid="{FDB902CF-EA46-4777-A853-C5524B0712B2}"/>
    <cellStyle name="20% - Accent6 4 8" xfId="8776" xr:uid="{C41B5F56-A5C5-453D-A749-0C470BA8CAAA}"/>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15AF6A13-1AFA-4FBD-BAB6-2D85C386EA5A}"/>
    <cellStyle name="20% - Accent6 5 2 3" xfId="11328" xr:uid="{F487282F-0D34-4998-9D37-CA1A490FD94F}"/>
    <cellStyle name="20% - Accent6 5 3" xfId="4959" xr:uid="{00000000-0005-0000-0000-0000B1030000}"/>
    <cellStyle name="20% - Accent6 5 3 2" xfId="13401" xr:uid="{2723C7C3-C935-4F61-A86C-56D44536FA7C}"/>
    <cellStyle name="20% - Accent6 5 4" xfId="9183" xr:uid="{6A3345C0-3CF9-4CC8-BD54-B5228B1738E3}"/>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F35D1407-5F4C-413C-8985-BD922B1FCD23}"/>
    <cellStyle name="20% - Accent6 6 2 3" xfId="11741" xr:uid="{D8E4FDC1-CB64-4576-A398-4389D4B8149E}"/>
    <cellStyle name="20% - Accent6 6 3" xfId="5372" xr:uid="{00000000-0005-0000-0000-0000B5030000}"/>
    <cellStyle name="20% - Accent6 6 3 2" xfId="13814" xr:uid="{D5C3CD96-E1C1-4CB3-8921-B8BA307A85F7}"/>
    <cellStyle name="20% - Accent6 6 4" xfId="9596" xr:uid="{2EABFE33-0109-4D27-A926-4376795813FF}"/>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0143C156-A57D-42CA-BC84-4CAB5339CC1F}"/>
    <cellStyle name="20% - Accent6 7 2 3" xfId="12154" xr:uid="{016BAC2D-CAEC-4311-91DA-551317821768}"/>
    <cellStyle name="20% - Accent6 7 3" xfId="5785" xr:uid="{00000000-0005-0000-0000-0000B9030000}"/>
    <cellStyle name="20% - Accent6 7 3 2" xfId="14227" xr:uid="{3D5AB525-6379-410C-8FBF-B0E93865BFDF}"/>
    <cellStyle name="20% - Accent6 7 4" xfId="10009" xr:uid="{DFBB3882-5051-4D95-9E9E-869AD8157E5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DA5DEC43-C8F7-4925-90E1-5CE90F126492}"/>
    <cellStyle name="20% - Accent6 8 2 3" xfId="12567" xr:uid="{86687A7A-EAF6-464E-A464-86AD902939D5}"/>
    <cellStyle name="20% - Accent6 8 3" xfId="6198" xr:uid="{00000000-0005-0000-0000-0000BD030000}"/>
    <cellStyle name="20% - Accent6 8 3 2" xfId="14640" xr:uid="{1BF0CA30-C2D9-4E34-9D81-A25A7D2E62B7}"/>
    <cellStyle name="20% - Accent6 8 4" xfId="10422" xr:uid="{6FBEAED3-8E30-4A0D-8BD2-7CB987497314}"/>
    <cellStyle name="20% - Accent6 9" xfId="2304" xr:uid="{00000000-0005-0000-0000-0000BE030000}"/>
    <cellStyle name="20% - Accent6 9 2" xfId="6611" xr:uid="{00000000-0005-0000-0000-0000BF030000}"/>
    <cellStyle name="20% - Accent6 9 2 2" xfId="15053" xr:uid="{A0540DA5-25DF-4F44-AAD8-E6A0206BF7F6}"/>
    <cellStyle name="20% - Accent6 9 3" xfId="10835" xr:uid="{407D96C9-4287-4ED7-915A-13D14CF3CC03}"/>
    <cellStyle name="40% - Accent1" xfId="49" builtinId="31" customBuiltin="1"/>
    <cellStyle name="40% - Accent1 10" xfId="4553" xr:uid="{00000000-0005-0000-0000-0000C1030000}"/>
    <cellStyle name="40% - Accent1 10 2" xfId="12995" xr:uid="{9C0B21E9-DD97-4672-A023-B7A35D5DC61C}"/>
    <cellStyle name="40% - Accent1 11" xfId="8777" xr:uid="{28956488-0E71-4BC8-82BB-7E2F836BACD5}"/>
    <cellStyle name="40% - Accent1 2" xfId="50" xr:uid="{00000000-0005-0000-0000-0000C2030000}"/>
    <cellStyle name="40% - Accent1 2 10" xfId="8778" xr:uid="{C6812B11-7874-491E-A8A5-2C447942028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073D620F-EDAD-47D0-A0C0-650939322B2B}"/>
    <cellStyle name="40% - Accent1 2 2 2 2 2 3" xfId="11339" xr:uid="{4ABE1EB9-4601-4E8A-A90C-26C746F6EB25}"/>
    <cellStyle name="40% - Accent1 2 2 2 2 3" xfId="4970" xr:uid="{00000000-0005-0000-0000-0000C8030000}"/>
    <cellStyle name="40% - Accent1 2 2 2 2 3 2" xfId="13412" xr:uid="{0C0D204B-5AFC-4711-8BB0-1D4A590C590B}"/>
    <cellStyle name="40% - Accent1 2 2 2 2 4" xfId="9194" xr:uid="{1FA46082-4393-4E15-B119-4472ED1A65A5}"/>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981450D4-175E-47A8-AA3B-56209F0C32EA}"/>
    <cellStyle name="40% - Accent1 2 2 2 3 2 3" xfId="11752" xr:uid="{531C9CAE-2E67-4EDB-AE9C-B0EC3BC9A21B}"/>
    <cellStyle name="40% - Accent1 2 2 2 3 3" xfId="5383" xr:uid="{00000000-0005-0000-0000-0000CC030000}"/>
    <cellStyle name="40% - Accent1 2 2 2 3 3 2" xfId="13825" xr:uid="{CE89D7DA-6A18-451B-85B7-EE1A187EE287}"/>
    <cellStyle name="40% - Accent1 2 2 2 3 4" xfId="9607" xr:uid="{BF0F027C-EACD-4590-9909-84152F37B155}"/>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95944DC9-886C-4F67-B373-B466C3C30DF9}"/>
    <cellStyle name="40% - Accent1 2 2 2 4 2 3" xfId="12165" xr:uid="{302439CC-FB2D-4232-9EF2-084C3CCBFAE8}"/>
    <cellStyle name="40% - Accent1 2 2 2 4 3" xfId="5796" xr:uid="{00000000-0005-0000-0000-0000D0030000}"/>
    <cellStyle name="40% - Accent1 2 2 2 4 3 2" xfId="14238" xr:uid="{66A4EA87-2DF1-4DB2-B82C-B50AFD6A0B2D}"/>
    <cellStyle name="40% - Accent1 2 2 2 4 4" xfId="10020" xr:uid="{06EC7862-6AE3-4A80-85B3-9199158FE1D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EB96101B-F5D4-46F8-848B-46A30808D541}"/>
    <cellStyle name="40% - Accent1 2 2 2 5 2 3" xfId="12578" xr:uid="{ADE6D002-9DF5-47FF-B005-7309DE693B7A}"/>
    <cellStyle name="40% - Accent1 2 2 2 5 3" xfId="6209" xr:uid="{00000000-0005-0000-0000-0000D4030000}"/>
    <cellStyle name="40% - Accent1 2 2 2 5 3 2" xfId="14651" xr:uid="{10106861-87DC-4999-BF4C-3D392D6AA345}"/>
    <cellStyle name="40% - Accent1 2 2 2 5 4" xfId="10433" xr:uid="{DB4F47DB-632F-4938-92DC-8F35D2B9B323}"/>
    <cellStyle name="40% - Accent1 2 2 2 6" xfId="2315" xr:uid="{00000000-0005-0000-0000-0000D5030000}"/>
    <cellStyle name="40% - Accent1 2 2 2 6 2" xfId="6622" xr:uid="{00000000-0005-0000-0000-0000D6030000}"/>
    <cellStyle name="40% - Accent1 2 2 2 6 2 2" xfId="15064" xr:uid="{7A9906BA-CA11-448D-9855-556316EED152}"/>
    <cellStyle name="40% - Accent1 2 2 2 6 3" xfId="10846" xr:uid="{7B168747-DCEF-4287-B023-5F6D559B00EE}"/>
    <cellStyle name="40% - Accent1 2 2 2 7" xfId="4556" xr:uid="{00000000-0005-0000-0000-0000D7030000}"/>
    <cellStyle name="40% - Accent1 2 2 2 7 2" xfId="12998" xr:uid="{FCD6D65E-F9BC-4809-B56C-DA9E9C1CD5D4}"/>
    <cellStyle name="40% - Accent1 2 2 2 8" xfId="8780" xr:uid="{20315031-55B3-4921-B52F-3189781CE764}"/>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38627B78-C661-4673-B4B7-E2057D79F8B4}"/>
    <cellStyle name="40% - Accent1 2 2 3 2 3" xfId="11338" xr:uid="{241B6CB5-84C2-4C91-A808-C8709C932C2D}"/>
    <cellStyle name="40% - Accent1 2 2 3 3" xfId="4969" xr:uid="{00000000-0005-0000-0000-0000DB030000}"/>
    <cellStyle name="40% - Accent1 2 2 3 3 2" xfId="13411" xr:uid="{074FAF69-60E8-4701-81E5-4A2B4A65FA81}"/>
    <cellStyle name="40% - Accent1 2 2 3 4" xfId="9193" xr:uid="{DC95ED89-2E2D-4CE3-87AF-C7B59997BC4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27FF8326-AC5D-4B00-832B-AB8CF8208FD4}"/>
    <cellStyle name="40% - Accent1 2 2 4 2 3" xfId="11751" xr:uid="{A828C094-519E-4857-AE86-BC20D4F831F4}"/>
    <cellStyle name="40% - Accent1 2 2 4 3" xfId="5382" xr:uid="{00000000-0005-0000-0000-0000DF030000}"/>
    <cellStyle name="40% - Accent1 2 2 4 3 2" xfId="13824" xr:uid="{9D551B7F-2184-4361-A345-8AF730F11CF0}"/>
    <cellStyle name="40% - Accent1 2 2 4 4" xfId="9606" xr:uid="{06E3174F-A546-4512-8A12-8ECE5E8A465A}"/>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80464A09-DA10-4824-A191-623D678BFB79}"/>
    <cellStyle name="40% - Accent1 2 2 5 2 3" xfId="12164" xr:uid="{AEE57C27-64A1-4970-BBE2-E58BCF60FCE0}"/>
    <cellStyle name="40% - Accent1 2 2 5 3" xfId="5795" xr:uid="{00000000-0005-0000-0000-0000E3030000}"/>
    <cellStyle name="40% - Accent1 2 2 5 3 2" xfId="14237" xr:uid="{4705C0D8-94A2-4756-AFBB-B4F89B670A1D}"/>
    <cellStyle name="40% - Accent1 2 2 5 4" xfId="10019" xr:uid="{72C5171C-7B94-4A63-8F73-EED2EC1CAF93}"/>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3B63EB18-3473-461C-870F-1A663CF7C0FB}"/>
    <cellStyle name="40% - Accent1 2 2 6 2 3" xfId="12577" xr:uid="{30942A0C-9790-4131-9DC4-0AD17D436B84}"/>
    <cellStyle name="40% - Accent1 2 2 6 3" xfId="6208" xr:uid="{00000000-0005-0000-0000-0000E7030000}"/>
    <cellStyle name="40% - Accent1 2 2 6 3 2" xfId="14650" xr:uid="{AADFE45A-F84C-4158-94EA-2A52C6AE1C02}"/>
    <cellStyle name="40% - Accent1 2 2 6 4" xfId="10432" xr:uid="{5C03CE72-BDB2-4C02-A5CE-5695FDDEC8C5}"/>
    <cellStyle name="40% - Accent1 2 2 7" xfId="2314" xr:uid="{00000000-0005-0000-0000-0000E8030000}"/>
    <cellStyle name="40% - Accent1 2 2 7 2" xfId="6621" xr:uid="{00000000-0005-0000-0000-0000E9030000}"/>
    <cellStyle name="40% - Accent1 2 2 7 2 2" xfId="15063" xr:uid="{66C708C8-ED8C-4E3E-9D88-F4A8F53D0044}"/>
    <cellStyle name="40% - Accent1 2 2 7 3" xfId="10845" xr:uid="{276DFA51-7214-4679-836D-E8407D00410B}"/>
    <cellStyle name="40% - Accent1 2 2 8" xfId="4555" xr:uid="{00000000-0005-0000-0000-0000EA030000}"/>
    <cellStyle name="40% - Accent1 2 2 8 2" xfId="12997" xr:uid="{ACC876C4-8FCE-4C24-9E02-2A98443EFF02}"/>
    <cellStyle name="40% - Accent1 2 2 9" xfId="8779" xr:uid="{9ED0CC5B-FD06-46D4-ACCC-FCD7AAE9CDE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602FDD74-2226-4F6F-A4AC-7D8685FD3249}"/>
    <cellStyle name="40% - Accent1 2 3 2 2 3" xfId="11340" xr:uid="{4AEEB7F0-8052-442A-A2C2-4FA81B8C206D}"/>
    <cellStyle name="40% - Accent1 2 3 2 3" xfId="4971" xr:uid="{00000000-0005-0000-0000-0000EF030000}"/>
    <cellStyle name="40% - Accent1 2 3 2 3 2" xfId="13413" xr:uid="{8D9328ED-A3C6-4C1E-8E92-E75D7A43A277}"/>
    <cellStyle name="40% - Accent1 2 3 2 4" xfId="9195" xr:uid="{A51A8E8A-B7CA-49A3-BD86-F53A5195F683}"/>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063FAC8C-94AD-4FE0-A2CA-874447B98111}"/>
    <cellStyle name="40% - Accent1 2 3 3 2 3" xfId="11753" xr:uid="{736F6F31-8D29-48D3-8850-607BDAA551B3}"/>
    <cellStyle name="40% - Accent1 2 3 3 3" xfId="5384" xr:uid="{00000000-0005-0000-0000-0000F3030000}"/>
    <cellStyle name="40% - Accent1 2 3 3 3 2" xfId="13826" xr:uid="{7049316A-02A3-4E00-A605-DFD0F7D93203}"/>
    <cellStyle name="40% - Accent1 2 3 3 4" xfId="9608" xr:uid="{81BB74FD-2F98-45C5-B722-1BB92EB215DC}"/>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F6301BF9-DD16-4E3B-85C8-54A5C2419D06}"/>
    <cellStyle name="40% - Accent1 2 3 4 2 3" xfId="12166" xr:uid="{5AFECA97-CD07-47F3-80DF-4600DBE3CF05}"/>
    <cellStyle name="40% - Accent1 2 3 4 3" xfId="5797" xr:uid="{00000000-0005-0000-0000-0000F7030000}"/>
    <cellStyle name="40% - Accent1 2 3 4 3 2" xfId="14239" xr:uid="{45A1E1C7-17D4-4681-B1B0-EAFBF1D26139}"/>
    <cellStyle name="40% - Accent1 2 3 4 4" xfId="10021" xr:uid="{D347D882-4867-4EC3-9C24-1F5A162203A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EE42C02D-EE4B-46BA-859A-E72BC5384B07}"/>
    <cellStyle name="40% - Accent1 2 3 5 2 3" xfId="12579" xr:uid="{F58FD7B8-2106-4198-9961-500430A39DA8}"/>
    <cellStyle name="40% - Accent1 2 3 5 3" xfId="6210" xr:uid="{00000000-0005-0000-0000-0000FB030000}"/>
    <cellStyle name="40% - Accent1 2 3 5 3 2" xfId="14652" xr:uid="{7D6458BC-1C45-4E9C-9947-89573CC34C5A}"/>
    <cellStyle name="40% - Accent1 2 3 5 4" xfId="10434" xr:uid="{0E2CD097-F468-47BE-847D-3CB3D0A0B98B}"/>
    <cellStyle name="40% - Accent1 2 3 6" xfId="2316" xr:uid="{00000000-0005-0000-0000-0000FC030000}"/>
    <cellStyle name="40% - Accent1 2 3 6 2" xfId="6623" xr:uid="{00000000-0005-0000-0000-0000FD030000}"/>
    <cellStyle name="40% - Accent1 2 3 6 2 2" xfId="15065" xr:uid="{E6768AE8-DC3E-42B5-BB3E-F7D342133D1A}"/>
    <cellStyle name="40% - Accent1 2 3 6 3" xfId="10847" xr:uid="{B36FA703-110D-4E70-9E08-BC47EE772FBD}"/>
    <cellStyle name="40% - Accent1 2 3 7" xfId="4557" xr:uid="{00000000-0005-0000-0000-0000FE030000}"/>
    <cellStyle name="40% - Accent1 2 3 7 2" xfId="12999" xr:uid="{105BCF9E-D5C9-4F8E-B7A5-3B2967F64DF0}"/>
    <cellStyle name="40% - Accent1 2 3 8" xfId="8781" xr:uid="{887877E0-9020-4AE2-8BF9-D3524E173039}"/>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8618F30F-FC70-4CCF-AF5D-49DCC3D8D107}"/>
    <cellStyle name="40% - Accent1 2 4 2 3" xfId="11337" xr:uid="{9583FB0C-501F-4D40-A0DD-8E22C508C964}"/>
    <cellStyle name="40% - Accent1 2 4 3" xfId="4968" xr:uid="{00000000-0005-0000-0000-000002040000}"/>
    <cellStyle name="40% - Accent1 2 4 3 2" xfId="13410" xr:uid="{BB6430AB-CA54-4C5F-8584-8DD7CF7DADE4}"/>
    <cellStyle name="40% - Accent1 2 4 4" xfId="9192" xr:uid="{15517FE6-9F64-493F-A577-438D75D4BF07}"/>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7EBE07DD-C58B-42F7-A13A-09AE838F127D}"/>
    <cellStyle name="40% - Accent1 2 5 2 3" xfId="11750" xr:uid="{0A36EB1A-BAA3-4900-A358-66CC91563C08}"/>
    <cellStyle name="40% - Accent1 2 5 3" xfId="5381" xr:uid="{00000000-0005-0000-0000-000006040000}"/>
    <cellStyle name="40% - Accent1 2 5 3 2" xfId="13823" xr:uid="{C9208530-4F72-41B8-BBCF-FCA8257FD11E}"/>
    <cellStyle name="40% - Accent1 2 5 4" xfId="9605" xr:uid="{D9F98A27-D1C2-4BC1-B9E8-FEC711AE94A1}"/>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15DA5B6E-A3C6-4E6A-ABEA-148D18302F2A}"/>
    <cellStyle name="40% - Accent1 2 6 2 3" xfId="12163" xr:uid="{E2B7610C-D4AD-48ED-93C1-B0F46828B55F}"/>
    <cellStyle name="40% - Accent1 2 6 3" xfId="5794" xr:uid="{00000000-0005-0000-0000-00000A040000}"/>
    <cellStyle name="40% - Accent1 2 6 3 2" xfId="14236" xr:uid="{D557C859-5713-42B5-8DA8-446A04BBD008}"/>
    <cellStyle name="40% - Accent1 2 6 4" xfId="10018" xr:uid="{CF3E2F6B-64D0-4FA8-921C-BAFAFFBAC54E}"/>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1E24B36C-2AC6-4244-B465-9F94265A78A5}"/>
    <cellStyle name="40% - Accent1 2 7 2 3" xfId="12576" xr:uid="{9543042F-427E-4A6F-9AE0-6BE57781B6DC}"/>
    <cellStyle name="40% - Accent1 2 7 3" xfId="6207" xr:uid="{00000000-0005-0000-0000-00000E040000}"/>
    <cellStyle name="40% - Accent1 2 7 3 2" xfId="14649" xr:uid="{9F7785FF-B6AB-447B-8E05-1329F69950E1}"/>
    <cellStyle name="40% - Accent1 2 7 4" xfId="10431" xr:uid="{6E6C6390-37D9-439F-801A-23818E056A1A}"/>
    <cellStyle name="40% - Accent1 2 8" xfId="2313" xr:uid="{00000000-0005-0000-0000-00000F040000}"/>
    <cellStyle name="40% - Accent1 2 8 2" xfId="6620" xr:uid="{00000000-0005-0000-0000-000010040000}"/>
    <cellStyle name="40% - Accent1 2 8 2 2" xfId="15062" xr:uid="{9CAF7FA9-A094-4070-B4BC-130EC77AF425}"/>
    <cellStyle name="40% - Accent1 2 8 3" xfId="10844" xr:uid="{22C49636-B233-4E18-8C12-68F9FCB38D1D}"/>
    <cellStyle name="40% - Accent1 2 9" xfId="4554" xr:uid="{00000000-0005-0000-0000-000011040000}"/>
    <cellStyle name="40% - Accent1 2 9 2" xfId="12996" xr:uid="{4028BD1A-6503-4A27-8725-C9C7A29DE381}"/>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AE54C537-1E46-45BE-8223-E5B3DA1A443F}"/>
    <cellStyle name="40% - Accent1 3 2 2 2 3" xfId="11342" xr:uid="{DA68F9A5-FBE0-4D94-9854-25E6B68DB17D}"/>
    <cellStyle name="40% - Accent1 3 2 2 3" xfId="4973" xr:uid="{00000000-0005-0000-0000-000017040000}"/>
    <cellStyle name="40% - Accent1 3 2 2 3 2" xfId="13415" xr:uid="{F94070B6-C346-46AA-BB98-5BB17FE91E9B}"/>
    <cellStyle name="40% - Accent1 3 2 2 4" xfId="9197" xr:uid="{AB41156E-78EF-42FA-B062-E36A2D7CE57B}"/>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5B46C12D-6326-4246-B68B-4207AACF95EE}"/>
    <cellStyle name="40% - Accent1 3 2 3 2 3" xfId="11755" xr:uid="{8FDFC24B-9928-45DE-8226-224155BC04D4}"/>
    <cellStyle name="40% - Accent1 3 2 3 3" xfId="5386" xr:uid="{00000000-0005-0000-0000-00001B040000}"/>
    <cellStyle name="40% - Accent1 3 2 3 3 2" xfId="13828" xr:uid="{48C7AC44-0561-496B-B322-65D48445DBB3}"/>
    <cellStyle name="40% - Accent1 3 2 3 4" xfId="9610" xr:uid="{BAEEC4E4-6967-47B8-BED6-3081935D4066}"/>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FCC26ABE-A6A0-4CC0-9573-55DC1DEE58B2}"/>
    <cellStyle name="40% - Accent1 3 2 4 2 3" xfId="12168" xr:uid="{8C5C13B4-693A-4FF0-9E6B-807E380259C0}"/>
    <cellStyle name="40% - Accent1 3 2 4 3" xfId="5799" xr:uid="{00000000-0005-0000-0000-00001F040000}"/>
    <cellStyle name="40% - Accent1 3 2 4 3 2" xfId="14241" xr:uid="{1F681553-389E-42A0-97B5-D9AF450A9DC6}"/>
    <cellStyle name="40% - Accent1 3 2 4 4" xfId="10023" xr:uid="{1CE65240-2BB3-42FA-87AA-1C0CD8B60C0A}"/>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2CCB562F-FDF1-4FDA-8AB5-C81AE3C7D087}"/>
    <cellStyle name="40% - Accent1 3 2 5 2 3" xfId="12581" xr:uid="{C558BE16-D651-4017-AF5A-5DF6F18E44BE}"/>
    <cellStyle name="40% - Accent1 3 2 5 3" xfId="6212" xr:uid="{00000000-0005-0000-0000-000023040000}"/>
    <cellStyle name="40% - Accent1 3 2 5 3 2" xfId="14654" xr:uid="{7B760204-B20D-4E74-A189-8FA2019DC0EC}"/>
    <cellStyle name="40% - Accent1 3 2 5 4" xfId="10436" xr:uid="{9FF2392B-EF60-455B-BC7F-240E7FFEE07B}"/>
    <cellStyle name="40% - Accent1 3 2 6" xfId="2318" xr:uid="{00000000-0005-0000-0000-000024040000}"/>
    <cellStyle name="40% - Accent1 3 2 6 2" xfId="6625" xr:uid="{00000000-0005-0000-0000-000025040000}"/>
    <cellStyle name="40% - Accent1 3 2 6 2 2" xfId="15067" xr:uid="{587AED3A-9B82-4E90-88E9-5AB34ECFBC81}"/>
    <cellStyle name="40% - Accent1 3 2 6 3" xfId="10849" xr:uid="{B2CAF1DF-EDFA-466C-9A26-B113075EC584}"/>
    <cellStyle name="40% - Accent1 3 2 7" xfId="4559" xr:uid="{00000000-0005-0000-0000-000026040000}"/>
    <cellStyle name="40% - Accent1 3 2 7 2" xfId="13001" xr:uid="{B853BC61-57F8-4102-ADAC-85F51B81CCA9}"/>
    <cellStyle name="40% - Accent1 3 2 8" xfId="8783" xr:uid="{861FB88E-1BDD-49F0-966B-E0165DB0B813}"/>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199077F7-9649-4D08-8787-F9DDD90140D5}"/>
    <cellStyle name="40% - Accent1 3 3 2 3" xfId="11341" xr:uid="{5AC6E7D1-9B9D-46D8-A0A8-BDEDA4EA0744}"/>
    <cellStyle name="40% - Accent1 3 3 3" xfId="4972" xr:uid="{00000000-0005-0000-0000-00002A040000}"/>
    <cellStyle name="40% - Accent1 3 3 3 2" xfId="13414" xr:uid="{EB4419DA-C41B-4227-BAB4-511E59FEA18C}"/>
    <cellStyle name="40% - Accent1 3 3 4" xfId="9196" xr:uid="{8898FDD7-E708-459B-A700-E093AEAE6C0A}"/>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4B2E2C6F-2C68-47AA-9BA3-8C427C11F516}"/>
    <cellStyle name="40% - Accent1 3 4 2 3" xfId="11754" xr:uid="{7D76A5FE-211A-495E-B72D-5408C35E0FDE}"/>
    <cellStyle name="40% - Accent1 3 4 3" xfId="5385" xr:uid="{00000000-0005-0000-0000-00002E040000}"/>
    <cellStyle name="40% - Accent1 3 4 3 2" xfId="13827" xr:uid="{C4EA1F15-04FF-441C-B22D-C05EE4F96881}"/>
    <cellStyle name="40% - Accent1 3 4 4" xfId="9609" xr:uid="{1D23D338-20A8-4A54-85CF-21212CEAA33E}"/>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64B76BD8-D28D-4629-ACB8-2D71A87B8B07}"/>
    <cellStyle name="40% - Accent1 3 5 2 3" xfId="12167" xr:uid="{6C03C8A6-25A5-47D4-BB5D-34967373CEC8}"/>
    <cellStyle name="40% - Accent1 3 5 3" xfId="5798" xr:uid="{00000000-0005-0000-0000-000032040000}"/>
    <cellStyle name="40% - Accent1 3 5 3 2" xfId="14240" xr:uid="{2971E203-4EB7-4E71-A92C-7F8435D66789}"/>
    <cellStyle name="40% - Accent1 3 5 4" xfId="10022" xr:uid="{B93BC543-2CF2-40D8-BDFE-6CDC38D60B4D}"/>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C0692667-B1FF-433D-AEB1-E48224084FD7}"/>
    <cellStyle name="40% - Accent1 3 6 2 3" xfId="12580" xr:uid="{31950BC5-9C91-42D3-B7FE-1E1979E325E6}"/>
    <cellStyle name="40% - Accent1 3 6 3" xfId="6211" xr:uid="{00000000-0005-0000-0000-000036040000}"/>
    <cellStyle name="40% - Accent1 3 6 3 2" xfId="14653" xr:uid="{8E9AFD0A-DC39-428A-906E-D1E1D92962F2}"/>
    <cellStyle name="40% - Accent1 3 6 4" xfId="10435" xr:uid="{4E4214C9-74B8-40D1-8E30-6C25AFD0917F}"/>
    <cellStyle name="40% - Accent1 3 7" xfId="2317" xr:uid="{00000000-0005-0000-0000-000037040000}"/>
    <cellStyle name="40% - Accent1 3 7 2" xfId="6624" xr:uid="{00000000-0005-0000-0000-000038040000}"/>
    <cellStyle name="40% - Accent1 3 7 2 2" xfId="15066" xr:uid="{BECDEEBE-C862-4F8D-ACC5-F7BB80BA4ABF}"/>
    <cellStyle name="40% - Accent1 3 7 3" xfId="10848" xr:uid="{86F16254-A054-4DB9-ADBB-0968886E32F4}"/>
    <cellStyle name="40% - Accent1 3 8" xfId="4558" xr:uid="{00000000-0005-0000-0000-000039040000}"/>
    <cellStyle name="40% - Accent1 3 8 2" xfId="13000" xr:uid="{7695756F-4748-47DC-8326-342BFD27D773}"/>
    <cellStyle name="40% - Accent1 3 9" xfId="8782" xr:uid="{EB700D0A-F222-4A82-8F95-32F9B5B65373}"/>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CAAB36DA-CFE7-4A90-B224-7BE878128ACD}"/>
    <cellStyle name="40% - Accent1 4 2 2 3" xfId="11343" xr:uid="{B12DB09C-25A1-4A01-9EC9-0B3F5B6D6FA5}"/>
    <cellStyle name="40% - Accent1 4 2 3" xfId="4974" xr:uid="{00000000-0005-0000-0000-00003E040000}"/>
    <cellStyle name="40% - Accent1 4 2 3 2" xfId="13416" xr:uid="{5AF327AF-07B5-433F-AAF4-B1C7DDB61500}"/>
    <cellStyle name="40% - Accent1 4 2 4" xfId="9198" xr:uid="{C8955A3F-70A4-4131-B249-5156F5098FBC}"/>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BDDD1F95-12CB-4C05-9C1B-75BE78729157}"/>
    <cellStyle name="40% - Accent1 4 3 2 3" xfId="11756" xr:uid="{9A9E0950-290C-4B50-A1E0-ABC2F872432B}"/>
    <cellStyle name="40% - Accent1 4 3 3" xfId="5387" xr:uid="{00000000-0005-0000-0000-000042040000}"/>
    <cellStyle name="40% - Accent1 4 3 3 2" xfId="13829" xr:uid="{2F3F611D-5E9B-4A33-A181-0168D19807D7}"/>
    <cellStyle name="40% - Accent1 4 3 4" xfId="9611" xr:uid="{C2812433-2D93-435C-A4DA-A40FF941B190}"/>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8CA55665-09A1-4682-ACFB-729EC9280FD7}"/>
    <cellStyle name="40% - Accent1 4 4 2 3" xfId="12169" xr:uid="{A0CD7B3D-D271-42D1-80A3-FF59012F8A90}"/>
    <cellStyle name="40% - Accent1 4 4 3" xfId="5800" xr:uid="{00000000-0005-0000-0000-000046040000}"/>
    <cellStyle name="40% - Accent1 4 4 3 2" xfId="14242" xr:uid="{AEAEB039-A4CC-46E7-82BB-A65B23C68602}"/>
    <cellStyle name="40% - Accent1 4 4 4" xfId="10024" xr:uid="{B1757127-3BE3-48E1-B332-4EBF5388B348}"/>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E3EA7DAE-4942-4481-B9C2-982E8BE619E1}"/>
    <cellStyle name="40% - Accent1 4 5 2 3" xfId="12582" xr:uid="{9FBEE60B-BA79-4B9D-A56E-24C176187A1F}"/>
    <cellStyle name="40% - Accent1 4 5 3" xfId="6213" xr:uid="{00000000-0005-0000-0000-00004A040000}"/>
    <cellStyle name="40% - Accent1 4 5 3 2" xfId="14655" xr:uid="{AE48FE00-7618-4A44-A1F2-856D794972DD}"/>
    <cellStyle name="40% - Accent1 4 5 4" xfId="10437" xr:uid="{A19ED47F-C3C4-4DD8-A976-9EA2E09067C6}"/>
    <cellStyle name="40% - Accent1 4 6" xfId="2319" xr:uid="{00000000-0005-0000-0000-00004B040000}"/>
    <cellStyle name="40% - Accent1 4 6 2" xfId="6626" xr:uid="{00000000-0005-0000-0000-00004C040000}"/>
    <cellStyle name="40% - Accent1 4 6 2 2" xfId="15068" xr:uid="{4B3040C8-4033-4929-B49B-BC4C14E76EFB}"/>
    <cellStyle name="40% - Accent1 4 6 3" xfId="10850" xr:uid="{977CE169-6839-4017-ADFB-7FE09E5A43CF}"/>
    <cellStyle name="40% - Accent1 4 7" xfId="4560" xr:uid="{00000000-0005-0000-0000-00004D040000}"/>
    <cellStyle name="40% - Accent1 4 7 2" xfId="13002" xr:uid="{E0B800BB-DF81-433D-8D85-5574948B483E}"/>
    <cellStyle name="40% - Accent1 4 8" xfId="8784" xr:uid="{503B3559-A62F-4665-B04E-5A9639064758}"/>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E9906180-BE1B-4DAD-8B6A-BADC4C9F2DFC}"/>
    <cellStyle name="40% - Accent1 5 2 3" xfId="11336" xr:uid="{F0E19A03-0234-4496-BCCE-910D94D73C46}"/>
    <cellStyle name="40% - Accent1 5 3" xfId="4967" xr:uid="{00000000-0005-0000-0000-000051040000}"/>
    <cellStyle name="40% - Accent1 5 3 2" xfId="13409" xr:uid="{46A75C39-BAEF-4EB4-ABDA-D84DD6729172}"/>
    <cellStyle name="40% - Accent1 5 4" xfId="9191" xr:uid="{B547AD21-021A-4145-93D7-E063B0AB064B}"/>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1462A85A-C2FD-45E2-958B-31482165CEE1}"/>
    <cellStyle name="40% - Accent1 6 2 3" xfId="11749" xr:uid="{AD84F54D-2133-4EBF-863D-D02D6344B770}"/>
    <cellStyle name="40% - Accent1 6 3" xfId="5380" xr:uid="{00000000-0005-0000-0000-000055040000}"/>
    <cellStyle name="40% - Accent1 6 3 2" xfId="13822" xr:uid="{FFC7DD43-2A5D-49C0-95DA-13B4E769C8F8}"/>
    <cellStyle name="40% - Accent1 6 4" xfId="9604" xr:uid="{97CEA2F4-D87B-4B9E-94B4-A72F5BE5098C}"/>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41413FD1-98C2-45D4-97D3-78D623052491}"/>
    <cellStyle name="40% - Accent1 7 2 3" xfId="12162" xr:uid="{703668E7-5B79-48D6-B3E7-533BEB69CEE4}"/>
    <cellStyle name="40% - Accent1 7 3" xfId="5793" xr:uid="{00000000-0005-0000-0000-000059040000}"/>
    <cellStyle name="40% - Accent1 7 3 2" xfId="14235" xr:uid="{5DA6CB20-DB52-461E-B09C-BA622E33B2BF}"/>
    <cellStyle name="40% - Accent1 7 4" xfId="10017" xr:uid="{C3EF686C-32EF-4B6B-91F4-BB9A902ECCBE}"/>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A9A7E1C6-AB97-4568-9468-F3824615B950}"/>
    <cellStyle name="40% - Accent1 8 2 3" xfId="12575" xr:uid="{2DDCC101-CB96-445D-AF29-6BB85514FD46}"/>
    <cellStyle name="40% - Accent1 8 3" xfId="6206" xr:uid="{00000000-0005-0000-0000-00005D040000}"/>
    <cellStyle name="40% - Accent1 8 3 2" xfId="14648" xr:uid="{2FF84DBD-AA11-4EA7-92C2-728B2687815E}"/>
    <cellStyle name="40% - Accent1 8 4" xfId="10430" xr:uid="{91CF916D-7CE3-424B-B214-47A8709FB6B9}"/>
    <cellStyle name="40% - Accent1 9" xfId="2312" xr:uid="{00000000-0005-0000-0000-00005E040000}"/>
    <cellStyle name="40% - Accent1 9 2" xfId="6619" xr:uid="{00000000-0005-0000-0000-00005F040000}"/>
    <cellStyle name="40% - Accent1 9 2 2" xfId="15061" xr:uid="{2AC0AF46-8CE2-47D5-9C28-F8BDFC4C986B}"/>
    <cellStyle name="40% - Accent1 9 3" xfId="10843" xr:uid="{861D0CDB-F9E5-4036-A9E1-DD6CF9189CB3}"/>
    <cellStyle name="40% - Accent2" xfId="57" builtinId="35" customBuiltin="1"/>
    <cellStyle name="40% - Accent2 10" xfId="4561" xr:uid="{00000000-0005-0000-0000-000061040000}"/>
    <cellStyle name="40% - Accent2 10 2" xfId="13003" xr:uid="{5A833E5C-0E83-4410-BA8C-D4934B06838D}"/>
    <cellStyle name="40% - Accent2 11" xfId="8785" xr:uid="{BD50F1D6-9456-483C-B09C-BBC21FC9B472}"/>
    <cellStyle name="40% - Accent2 2" xfId="58" xr:uid="{00000000-0005-0000-0000-000062040000}"/>
    <cellStyle name="40% - Accent2 2 10" xfId="8786" xr:uid="{5EDFB0C9-B124-4EB2-99E0-017D705984B9}"/>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7A6FBA49-4474-4B11-9BAA-930DCCC9A974}"/>
    <cellStyle name="40% - Accent2 2 2 2 2 2 3" xfId="11347" xr:uid="{00AD32F1-762C-4451-AA9F-F104BBD1D8F1}"/>
    <cellStyle name="40% - Accent2 2 2 2 2 3" xfId="4978" xr:uid="{00000000-0005-0000-0000-000068040000}"/>
    <cellStyle name="40% - Accent2 2 2 2 2 3 2" xfId="13420" xr:uid="{BDBAAFBE-0F43-4B11-8A1D-BFB8167F7826}"/>
    <cellStyle name="40% - Accent2 2 2 2 2 4" xfId="9202" xr:uid="{9B0E24D4-6506-4C79-A72E-4EE9F092A4E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3505A7DA-52B2-4D67-9DCA-73F77F0134F5}"/>
    <cellStyle name="40% - Accent2 2 2 2 3 2 3" xfId="11760" xr:uid="{42E4982A-DA68-4A38-81C6-D9F43A27F8F1}"/>
    <cellStyle name="40% - Accent2 2 2 2 3 3" xfId="5391" xr:uid="{00000000-0005-0000-0000-00006C040000}"/>
    <cellStyle name="40% - Accent2 2 2 2 3 3 2" xfId="13833" xr:uid="{9B5A3B42-B985-4E36-A1CA-0CDEAD374EE9}"/>
    <cellStyle name="40% - Accent2 2 2 2 3 4" xfId="9615" xr:uid="{165DA9D1-A57A-44B6-BAD6-7D3899A92651}"/>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2749B410-5DF1-4E09-8A14-D85C786F639B}"/>
    <cellStyle name="40% - Accent2 2 2 2 4 2 3" xfId="12173" xr:uid="{8E306C47-8351-4F71-94A2-1E9712C089D0}"/>
    <cellStyle name="40% - Accent2 2 2 2 4 3" xfId="5804" xr:uid="{00000000-0005-0000-0000-000070040000}"/>
    <cellStyle name="40% - Accent2 2 2 2 4 3 2" xfId="14246" xr:uid="{9708F21D-5598-4FD6-80D8-1E36D0B9ED90}"/>
    <cellStyle name="40% - Accent2 2 2 2 4 4" xfId="10028" xr:uid="{F9A9D3CE-04D2-4998-BF7B-4B90F47B0C1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31EE423A-C794-4330-96B7-90F56E6FCE31}"/>
    <cellStyle name="40% - Accent2 2 2 2 5 2 3" xfId="12586" xr:uid="{85D58C68-72EA-4D21-9C13-0E261AAF6AB0}"/>
    <cellStyle name="40% - Accent2 2 2 2 5 3" xfId="6217" xr:uid="{00000000-0005-0000-0000-000074040000}"/>
    <cellStyle name="40% - Accent2 2 2 2 5 3 2" xfId="14659" xr:uid="{EB13F4BE-3192-4398-8271-B3E8215F7B07}"/>
    <cellStyle name="40% - Accent2 2 2 2 5 4" xfId="10441" xr:uid="{C7453D26-06ED-4652-8CD4-7B9215211867}"/>
    <cellStyle name="40% - Accent2 2 2 2 6" xfId="2323" xr:uid="{00000000-0005-0000-0000-000075040000}"/>
    <cellStyle name="40% - Accent2 2 2 2 6 2" xfId="6630" xr:uid="{00000000-0005-0000-0000-000076040000}"/>
    <cellStyle name="40% - Accent2 2 2 2 6 2 2" xfId="15072" xr:uid="{D5CBE6B6-7801-4B5B-BD67-680E6B635943}"/>
    <cellStyle name="40% - Accent2 2 2 2 6 3" xfId="10854" xr:uid="{4D16EAF1-AD55-4DA6-946E-726D9B524E16}"/>
    <cellStyle name="40% - Accent2 2 2 2 7" xfId="4564" xr:uid="{00000000-0005-0000-0000-000077040000}"/>
    <cellStyle name="40% - Accent2 2 2 2 7 2" xfId="13006" xr:uid="{096DBDA5-0BF2-40DE-B5C6-B63807113799}"/>
    <cellStyle name="40% - Accent2 2 2 2 8" xfId="8788" xr:uid="{49585A61-4FDA-47BD-8F8F-A35A8D003B17}"/>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739F6D23-CD06-4873-963C-7500040DC634}"/>
    <cellStyle name="40% - Accent2 2 2 3 2 3" xfId="11346" xr:uid="{73C92C78-F0C7-4793-ADF2-0CBB9147FEF1}"/>
    <cellStyle name="40% - Accent2 2 2 3 3" xfId="4977" xr:uid="{00000000-0005-0000-0000-00007B040000}"/>
    <cellStyle name="40% - Accent2 2 2 3 3 2" xfId="13419" xr:uid="{EE8785E4-F52D-4FC0-BA18-7E00E6B43F7B}"/>
    <cellStyle name="40% - Accent2 2 2 3 4" xfId="9201" xr:uid="{6A9633F5-2441-4666-AF94-1641177010E1}"/>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5289DFE5-1A24-4043-89A3-1F874C66FA38}"/>
    <cellStyle name="40% - Accent2 2 2 4 2 3" xfId="11759" xr:uid="{B5850D39-155E-4FCF-B663-F7AC241D56B3}"/>
    <cellStyle name="40% - Accent2 2 2 4 3" xfId="5390" xr:uid="{00000000-0005-0000-0000-00007F040000}"/>
    <cellStyle name="40% - Accent2 2 2 4 3 2" xfId="13832" xr:uid="{6D02B978-12F6-49C7-A6F7-6C526983A12A}"/>
    <cellStyle name="40% - Accent2 2 2 4 4" xfId="9614" xr:uid="{4258B415-6B9C-45A4-AAB9-BF890788EFE1}"/>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726B3435-17E2-4E67-BECE-725F08EB7DE2}"/>
    <cellStyle name="40% - Accent2 2 2 5 2 3" xfId="12172" xr:uid="{1B8EFD22-49B7-481E-B714-50AE3591A64B}"/>
    <cellStyle name="40% - Accent2 2 2 5 3" xfId="5803" xr:uid="{00000000-0005-0000-0000-000083040000}"/>
    <cellStyle name="40% - Accent2 2 2 5 3 2" xfId="14245" xr:uid="{3694EF0A-224B-4FF2-9543-01F30889372C}"/>
    <cellStyle name="40% - Accent2 2 2 5 4" xfId="10027" xr:uid="{59D5121A-9BCE-4EDD-9C07-B3FD915A8B8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9E02669E-912D-40E2-B581-12E26DDEDAF6}"/>
    <cellStyle name="40% - Accent2 2 2 6 2 3" xfId="12585" xr:uid="{2F1F51E1-2AE9-445E-A176-68A767ED9D55}"/>
    <cellStyle name="40% - Accent2 2 2 6 3" xfId="6216" xr:uid="{00000000-0005-0000-0000-000087040000}"/>
    <cellStyle name="40% - Accent2 2 2 6 3 2" xfId="14658" xr:uid="{68DE4A56-C066-458E-9E02-CD8B2EED95A9}"/>
    <cellStyle name="40% - Accent2 2 2 6 4" xfId="10440" xr:uid="{0A06175E-EA7A-450D-AA1B-07F854FCB547}"/>
    <cellStyle name="40% - Accent2 2 2 7" xfId="2322" xr:uid="{00000000-0005-0000-0000-000088040000}"/>
    <cellStyle name="40% - Accent2 2 2 7 2" xfId="6629" xr:uid="{00000000-0005-0000-0000-000089040000}"/>
    <cellStyle name="40% - Accent2 2 2 7 2 2" xfId="15071" xr:uid="{A84FF46E-B324-4CA8-9D47-D7CF95463D7F}"/>
    <cellStyle name="40% - Accent2 2 2 7 3" xfId="10853" xr:uid="{FDCEDBFE-A252-46FE-A007-AA88856BD1FF}"/>
    <cellStyle name="40% - Accent2 2 2 8" xfId="4563" xr:uid="{00000000-0005-0000-0000-00008A040000}"/>
    <cellStyle name="40% - Accent2 2 2 8 2" xfId="13005" xr:uid="{C73574D0-CAC4-4436-8257-0B244A82FD5C}"/>
    <cellStyle name="40% - Accent2 2 2 9" xfId="8787" xr:uid="{F4C28F6E-2CEC-48F2-A7BF-B53AB023D7CD}"/>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D1B0727A-4548-447A-A765-561E5513ECEB}"/>
    <cellStyle name="40% - Accent2 2 3 2 2 3" xfId="11348" xr:uid="{7FF426A2-9533-49E0-BA6C-61EF86B24B77}"/>
    <cellStyle name="40% - Accent2 2 3 2 3" xfId="4979" xr:uid="{00000000-0005-0000-0000-00008F040000}"/>
    <cellStyle name="40% - Accent2 2 3 2 3 2" xfId="13421" xr:uid="{2F91BF74-A11C-498C-8565-BA149F93EB85}"/>
    <cellStyle name="40% - Accent2 2 3 2 4" xfId="9203" xr:uid="{2A14A431-EDF2-4CFF-89D8-AA531E0A9BB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B1622589-BFF4-4303-A8DA-ECEECF60EE05}"/>
    <cellStyle name="40% - Accent2 2 3 3 2 3" xfId="11761" xr:uid="{A5B82ED7-7D8E-4386-B819-9024219A72BB}"/>
    <cellStyle name="40% - Accent2 2 3 3 3" xfId="5392" xr:uid="{00000000-0005-0000-0000-000093040000}"/>
    <cellStyle name="40% - Accent2 2 3 3 3 2" xfId="13834" xr:uid="{3D810606-535C-47C6-8B3F-CCC2C2D07CC3}"/>
    <cellStyle name="40% - Accent2 2 3 3 4" xfId="9616" xr:uid="{979B33F7-BEE5-4A1A-BA51-64F33EE7342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ADA3D7D6-78C8-4B77-BBB9-E23685A05527}"/>
    <cellStyle name="40% - Accent2 2 3 4 2 3" xfId="12174" xr:uid="{7DBA31DF-3F3B-4949-B919-2D7C94ADE3CC}"/>
    <cellStyle name="40% - Accent2 2 3 4 3" xfId="5805" xr:uid="{00000000-0005-0000-0000-000097040000}"/>
    <cellStyle name="40% - Accent2 2 3 4 3 2" xfId="14247" xr:uid="{A78C3AD4-7206-426F-A570-281750667266}"/>
    <cellStyle name="40% - Accent2 2 3 4 4" xfId="10029" xr:uid="{0A4A24D5-5FB7-4E9E-8375-C9C28A302B38}"/>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E26B6A57-F100-4190-8391-9B62E5D6EA6A}"/>
    <cellStyle name="40% - Accent2 2 3 5 2 3" xfId="12587" xr:uid="{D6C4B032-300C-4FC7-9E5B-844B89EFFE7B}"/>
    <cellStyle name="40% - Accent2 2 3 5 3" xfId="6218" xr:uid="{00000000-0005-0000-0000-00009B040000}"/>
    <cellStyle name="40% - Accent2 2 3 5 3 2" xfId="14660" xr:uid="{F70FCBD3-F82F-4549-AFE1-E1E045130CEC}"/>
    <cellStyle name="40% - Accent2 2 3 5 4" xfId="10442" xr:uid="{41FB77A8-450B-403C-A77E-8C71C2FB8A40}"/>
    <cellStyle name="40% - Accent2 2 3 6" xfId="2324" xr:uid="{00000000-0005-0000-0000-00009C040000}"/>
    <cellStyle name="40% - Accent2 2 3 6 2" xfId="6631" xr:uid="{00000000-0005-0000-0000-00009D040000}"/>
    <cellStyle name="40% - Accent2 2 3 6 2 2" xfId="15073" xr:uid="{AAB10D2E-1798-47BD-B998-BFD30D677658}"/>
    <cellStyle name="40% - Accent2 2 3 6 3" xfId="10855" xr:uid="{5975CF68-C1B7-42B0-9A7E-EB4CF609F8F6}"/>
    <cellStyle name="40% - Accent2 2 3 7" xfId="4565" xr:uid="{00000000-0005-0000-0000-00009E040000}"/>
    <cellStyle name="40% - Accent2 2 3 7 2" xfId="13007" xr:uid="{9B022EE9-0357-4221-B548-C68F1AA2199F}"/>
    <cellStyle name="40% - Accent2 2 3 8" xfId="8789" xr:uid="{6426958B-656C-460A-8F6B-B657AA4C44E5}"/>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B236E1AD-A698-4DD3-887E-345CF9CC8142}"/>
    <cellStyle name="40% - Accent2 2 4 2 3" xfId="11345" xr:uid="{97C6879F-F837-454C-A207-EACDBE3C67D6}"/>
    <cellStyle name="40% - Accent2 2 4 3" xfId="4976" xr:uid="{00000000-0005-0000-0000-0000A2040000}"/>
    <cellStyle name="40% - Accent2 2 4 3 2" xfId="13418" xr:uid="{4F029A16-FE2F-451D-9C49-B091A12CBC63}"/>
    <cellStyle name="40% - Accent2 2 4 4" xfId="9200" xr:uid="{70166EC3-0AB5-4AB1-8607-1721741C9F09}"/>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F6435E4E-09D1-4389-A236-A11145DB4768}"/>
    <cellStyle name="40% - Accent2 2 5 2 3" xfId="11758" xr:uid="{94CDD86E-DBBD-4869-84A5-E6AE1EDAE5EB}"/>
    <cellStyle name="40% - Accent2 2 5 3" xfId="5389" xr:uid="{00000000-0005-0000-0000-0000A6040000}"/>
    <cellStyle name="40% - Accent2 2 5 3 2" xfId="13831" xr:uid="{278FAD2B-6A4A-48DA-A031-12D17F5DA245}"/>
    <cellStyle name="40% - Accent2 2 5 4" xfId="9613" xr:uid="{6BC012B6-6EC6-4637-BBFB-5A4BC46FB673}"/>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89F1756D-47D7-4C82-A333-F693CD47687A}"/>
    <cellStyle name="40% - Accent2 2 6 2 3" xfId="12171" xr:uid="{07B814A3-93B7-40DE-AAF9-F4DE6EF4A8C3}"/>
    <cellStyle name="40% - Accent2 2 6 3" xfId="5802" xr:uid="{00000000-0005-0000-0000-0000AA040000}"/>
    <cellStyle name="40% - Accent2 2 6 3 2" xfId="14244" xr:uid="{07E5DDBC-C856-4C04-AB25-5424031BAAC2}"/>
    <cellStyle name="40% - Accent2 2 6 4" xfId="10026" xr:uid="{CFCC416A-1DD2-4385-BE2E-0C186B82FF0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E5A22996-8A26-4361-A2A7-D0A5723DCE99}"/>
    <cellStyle name="40% - Accent2 2 7 2 3" xfId="12584" xr:uid="{A3D260EE-555C-4D67-8D5D-7705A695AC87}"/>
    <cellStyle name="40% - Accent2 2 7 3" xfId="6215" xr:uid="{00000000-0005-0000-0000-0000AE040000}"/>
    <cellStyle name="40% - Accent2 2 7 3 2" xfId="14657" xr:uid="{FDC8C671-A650-4AB3-B89A-71826D7312FA}"/>
    <cellStyle name="40% - Accent2 2 7 4" xfId="10439" xr:uid="{74AA1C62-35B1-4EEC-A9C9-3F21CBDA6C46}"/>
    <cellStyle name="40% - Accent2 2 8" xfId="2321" xr:uid="{00000000-0005-0000-0000-0000AF040000}"/>
    <cellStyle name="40% - Accent2 2 8 2" xfId="6628" xr:uid="{00000000-0005-0000-0000-0000B0040000}"/>
    <cellStyle name="40% - Accent2 2 8 2 2" xfId="15070" xr:uid="{64058ACF-D265-40E4-8185-FF7EF576AE96}"/>
    <cellStyle name="40% - Accent2 2 8 3" xfId="10852" xr:uid="{7A064039-8C6B-4104-BCE0-AA61F2F001E8}"/>
    <cellStyle name="40% - Accent2 2 9" xfId="4562" xr:uid="{00000000-0005-0000-0000-0000B1040000}"/>
    <cellStyle name="40% - Accent2 2 9 2" xfId="13004" xr:uid="{74B07F77-660F-41C9-BDDA-68962D873DD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4DCB0915-5A57-4818-8945-42EBC30D9A4C}"/>
    <cellStyle name="40% - Accent2 3 2 2 2 3" xfId="11350" xr:uid="{560DA788-73E6-4720-868E-A889A88A0CF7}"/>
    <cellStyle name="40% - Accent2 3 2 2 3" xfId="4981" xr:uid="{00000000-0005-0000-0000-0000B7040000}"/>
    <cellStyle name="40% - Accent2 3 2 2 3 2" xfId="13423" xr:uid="{11DB469C-FABD-4099-A745-3670A6A87854}"/>
    <cellStyle name="40% - Accent2 3 2 2 4" xfId="9205" xr:uid="{690B4038-1985-4208-AAAD-424F45F7B661}"/>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7C76CCAE-7D83-4994-B0BB-34A4347596DE}"/>
    <cellStyle name="40% - Accent2 3 2 3 2 3" xfId="11763" xr:uid="{3BE7FD54-46F6-485C-9016-D4CC124BF19B}"/>
    <cellStyle name="40% - Accent2 3 2 3 3" xfId="5394" xr:uid="{00000000-0005-0000-0000-0000BB040000}"/>
    <cellStyle name="40% - Accent2 3 2 3 3 2" xfId="13836" xr:uid="{21C0EC54-D824-47D2-80CF-87D10F435B13}"/>
    <cellStyle name="40% - Accent2 3 2 3 4" xfId="9618" xr:uid="{37D43B3A-ED71-4C64-90B5-E0DEE85A626E}"/>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37C3F046-BD39-49C8-9126-98C37EEC2825}"/>
    <cellStyle name="40% - Accent2 3 2 4 2 3" xfId="12176" xr:uid="{D79BC2C4-57FB-48A8-B673-CD8879E147C4}"/>
    <cellStyle name="40% - Accent2 3 2 4 3" xfId="5807" xr:uid="{00000000-0005-0000-0000-0000BF040000}"/>
    <cellStyle name="40% - Accent2 3 2 4 3 2" xfId="14249" xr:uid="{722801D3-607C-4459-9A53-D0C50B1D9E34}"/>
    <cellStyle name="40% - Accent2 3 2 4 4" xfId="10031" xr:uid="{447696B6-FD70-4F86-B76C-C2F5A203DD07}"/>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80608EF4-236A-40E9-9D60-6EC2C766D59E}"/>
    <cellStyle name="40% - Accent2 3 2 5 2 3" xfId="12589" xr:uid="{25591D4E-ED26-4592-8818-62BBAC0C82CE}"/>
    <cellStyle name="40% - Accent2 3 2 5 3" xfId="6220" xr:uid="{00000000-0005-0000-0000-0000C3040000}"/>
    <cellStyle name="40% - Accent2 3 2 5 3 2" xfId="14662" xr:uid="{9DE00852-980B-44C8-BE06-718F8769BE14}"/>
    <cellStyle name="40% - Accent2 3 2 5 4" xfId="10444" xr:uid="{CDD64ABA-542B-431C-A0C3-75ADF2787D73}"/>
    <cellStyle name="40% - Accent2 3 2 6" xfId="2326" xr:uid="{00000000-0005-0000-0000-0000C4040000}"/>
    <cellStyle name="40% - Accent2 3 2 6 2" xfId="6633" xr:uid="{00000000-0005-0000-0000-0000C5040000}"/>
    <cellStyle name="40% - Accent2 3 2 6 2 2" xfId="15075" xr:uid="{E55DEA99-1E0C-4924-829B-73CF8ABF47DA}"/>
    <cellStyle name="40% - Accent2 3 2 6 3" xfId="10857" xr:uid="{942303F3-2348-47D4-A79B-CCF0395C87F1}"/>
    <cellStyle name="40% - Accent2 3 2 7" xfId="4567" xr:uid="{00000000-0005-0000-0000-0000C6040000}"/>
    <cellStyle name="40% - Accent2 3 2 7 2" xfId="13009" xr:uid="{CE880AD6-1C88-471A-A360-E80E5292315D}"/>
    <cellStyle name="40% - Accent2 3 2 8" xfId="8791" xr:uid="{C83BED37-575E-4027-9485-543B1FFC2889}"/>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6FA65A69-D85E-4102-8E26-A1A4E2B6D4AF}"/>
    <cellStyle name="40% - Accent2 3 3 2 3" xfId="11349" xr:uid="{26076A5B-0458-4339-91E9-156DED860234}"/>
    <cellStyle name="40% - Accent2 3 3 3" xfId="4980" xr:uid="{00000000-0005-0000-0000-0000CA040000}"/>
    <cellStyle name="40% - Accent2 3 3 3 2" xfId="13422" xr:uid="{72DDD2C4-3F2B-43FE-9140-A43602228924}"/>
    <cellStyle name="40% - Accent2 3 3 4" xfId="9204" xr:uid="{A60F087B-047B-4FE8-A2D7-C1765C2EC23F}"/>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B86A9653-1FD7-4906-8B71-2003F23358F9}"/>
    <cellStyle name="40% - Accent2 3 4 2 3" xfId="11762" xr:uid="{6B6CB94A-FCE4-4202-9521-E5193172D38F}"/>
    <cellStyle name="40% - Accent2 3 4 3" xfId="5393" xr:uid="{00000000-0005-0000-0000-0000CE040000}"/>
    <cellStyle name="40% - Accent2 3 4 3 2" xfId="13835" xr:uid="{A4DD89F0-6E30-48F2-B2B3-00B5BFE943FA}"/>
    <cellStyle name="40% - Accent2 3 4 4" xfId="9617" xr:uid="{CF46F556-0D15-4949-B636-E5415983EAFE}"/>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0AD35EC3-1D79-46F4-ABD1-78CCC71252EE}"/>
    <cellStyle name="40% - Accent2 3 5 2 3" xfId="12175" xr:uid="{EE220EAA-AE30-416D-9C04-1201AF1F8A92}"/>
    <cellStyle name="40% - Accent2 3 5 3" xfId="5806" xr:uid="{00000000-0005-0000-0000-0000D2040000}"/>
    <cellStyle name="40% - Accent2 3 5 3 2" xfId="14248" xr:uid="{7DB3E13B-ECB1-41B6-9C65-70BD1A49B2BD}"/>
    <cellStyle name="40% - Accent2 3 5 4" xfId="10030" xr:uid="{E5308AB1-0EDA-48C2-AA41-B387610500F2}"/>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68F2FAD5-300D-4EF7-94C7-3B736D7F61E8}"/>
    <cellStyle name="40% - Accent2 3 6 2 3" xfId="12588" xr:uid="{365D35E1-8B84-4F3E-852D-7DDF5E773149}"/>
    <cellStyle name="40% - Accent2 3 6 3" xfId="6219" xr:uid="{00000000-0005-0000-0000-0000D6040000}"/>
    <cellStyle name="40% - Accent2 3 6 3 2" xfId="14661" xr:uid="{4A7EFDA5-6291-4AC2-A8FE-13B3AA216A79}"/>
    <cellStyle name="40% - Accent2 3 6 4" xfId="10443" xr:uid="{EBF14DEE-AC9D-47B2-AA1D-E1FC2D4DEDA6}"/>
    <cellStyle name="40% - Accent2 3 7" xfId="2325" xr:uid="{00000000-0005-0000-0000-0000D7040000}"/>
    <cellStyle name="40% - Accent2 3 7 2" xfId="6632" xr:uid="{00000000-0005-0000-0000-0000D8040000}"/>
    <cellStyle name="40% - Accent2 3 7 2 2" xfId="15074" xr:uid="{8202BADF-C20C-4B2D-AA44-C4560512E29B}"/>
    <cellStyle name="40% - Accent2 3 7 3" xfId="10856" xr:uid="{89F85AA8-EFED-48EC-92BB-1190EB960346}"/>
    <cellStyle name="40% - Accent2 3 8" xfId="4566" xr:uid="{00000000-0005-0000-0000-0000D9040000}"/>
    <cellStyle name="40% - Accent2 3 8 2" xfId="13008" xr:uid="{C58E7296-4ECD-4D5D-8BDC-65E494F39639}"/>
    <cellStyle name="40% - Accent2 3 9" xfId="8790" xr:uid="{4CE7E024-B4F5-4642-ACF2-83C89CBD4CE5}"/>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4EF3339A-D5D0-49CE-9D2A-C73F058592CD}"/>
    <cellStyle name="40% - Accent2 4 2 2 3" xfId="11351" xr:uid="{B26C1D96-9E61-440A-875B-9F0A76CDC586}"/>
    <cellStyle name="40% - Accent2 4 2 3" xfId="4982" xr:uid="{00000000-0005-0000-0000-0000DE040000}"/>
    <cellStyle name="40% - Accent2 4 2 3 2" xfId="13424" xr:uid="{E0B2A51D-EB9F-417B-94B2-097E7BD7F64E}"/>
    <cellStyle name="40% - Accent2 4 2 4" xfId="9206" xr:uid="{0C272458-7107-41D9-ADAB-5063EF7DEDF0}"/>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2396A9D0-A341-4C5D-8B55-736B7FC412EF}"/>
    <cellStyle name="40% - Accent2 4 3 2 3" xfId="11764" xr:uid="{4889927D-236A-4391-A720-749F00FFB7CE}"/>
    <cellStyle name="40% - Accent2 4 3 3" xfId="5395" xr:uid="{00000000-0005-0000-0000-0000E2040000}"/>
    <cellStyle name="40% - Accent2 4 3 3 2" xfId="13837" xr:uid="{0BA20E8B-493F-40D7-8EED-AD5EE6CDA86B}"/>
    <cellStyle name="40% - Accent2 4 3 4" xfId="9619" xr:uid="{93D0CAC0-3C01-4A00-927E-1E28B45BD0F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5A9E8EB-6580-45A0-826C-1A6A697BFE02}"/>
    <cellStyle name="40% - Accent2 4 4 2 3" xfId="12177" xr:uid="{BAA87867-4BC5-4A59-9EC1-EEF812B2A0A9}"/>
    <cellStyle name="40% - Accent2 4 4 3" xfId="5808" xr:uid="{00000000-0005-0000-0000-0000E6040000}"/>
    <cellStyle name="40% - Accent2 4 4 3 2" xfId="14250" xr:uid="{92E7651E-EEF4-4C20-B7D6-1C11F13CA5BD}"/>
    <cellStyle name="40% - Accent2 4 4 4" xfId="10032" xr:uid="{B18C763E-A477-4793-81EC-C58FC171C8ED}"/>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CCF72696-799E-4DB0-B190-020D3AB376F8}"/>
    <cellStyle name="40% - Accent2 4 5 2 3" xfId="12590" xr:uid="{03F3E9B6-A2B7-48AA-BE32-E95CB705CF91}"/>
    <cellStyle name="40% - Accent2 4 5 3" xfId="6221" xr:uid="{00000000-0005-0000-0000-0000EA040000}"/>
    <cellStyle name="40% - Accent2 4 5 3 2" xfId="14663" xr:uid="{256F0DD4-DDF5-4ABA-B774-EAC9EC0AADF1}"/>
    <cellStyle name="40% - Accent2 4 5 4" xfId="10445" xr:uid="{951B0E75-6A40-42B4-BC50-6A93BE910EEA}"/>
    <cellStyle name="40% - Accent2 4 6" xfId="2327" xr:uid="{00000000-0005-0000-0000-0000EB040000}"/>
    <cellStyle name="40% - Accent2 4 6 2" xfId="6634" xr:uid="{00000000-0005-0000-0000-0000EC040000}"/>
    <cellStyle name="40% - Accent2 4 6 2 2" xfId="15076" xr:uid="{A4210C59-226D-4E2B-8BE0-3110FA868CE5}"/>
    <cellStyle name="40% - Accent2 4 6 3" xfId="10858" xr:uid="{DF135A22-AE46-4343-A1F7-8FDE9A4679FD}"/>
    <cellStyle name="40% - Accent2 4 7" xfId="4568" xr:uid="{00000000-0005-0000-0000-0000ED040000}"/>
    <cellStyle name="40% - Accent2 4 7 2" xfId="13010" xr:uid="{7283E508-EFF7-4CDF-B376-5C26549F7374}"/>
    <cellStyle name="40% - Accent2 4 8" xfId="8792" xr:uid="{EEAA6E01-01EA-4167-8B66-1EF6DDE22619}"/>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5C4568D4-6919-42C5-B343-66586389B1E1}"/>
    <cellStyle name="40% - Accent2 5 2 3" xfId="11344" xr:uid="{EF42BD2D-6BF4-46EA-81C8-DC8F0B970255}"/>
    <cellStyle name="40% - Accent2 5 3" xfId="4975" xr:uid="{00000000-0005-0000-0000-0000F1040000}"/>
    <cellStyle name="40% - Accent2 5 3 2" xfId="13417" xr:uid="{4EB04D15-50A6-426B-ABF0-CDB41D91F292}"/>
    <cellStyle name="40% - Accent2 5 4" xfId="9199" xr:uid="{07C50B25-3E14-4E8A-A050-B8751F446178}"/>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E55883FF-AC92-4B31-885E-9F987ADC16BB}"/>
    <cellStyle name="40% - Accent2 6 2 3" xfId="11757" xr:uid="{D35E7E01-0F1D-4592-A520-95D18E4B3D71}"/>
    <cellStyle name="40% - Accent2 6 3" xfId="5388" xr:uid="{00000000-0005-0000-0000-0000F5040000}"/>
    <cellStyle name="40% - Accent2 6 3 2" xfId="13830" xr:uid="{AF31BA94-1B9B-4FB3-9AE0-4A0DDDAFC15D}"/>
    <cellStyle name="40% - Accent2 6 4" xfId="9612" xr:uid="{6E55AA18-B233-4631-8935-16F64E9A0F07}"/>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08D2AD35-BDFB-4CEE-8847-C70454972108}"/>
    <cellStyle name="40% - Accent2 7 2 3" xfId="12170" xr:uid="{E213C5A1-DDE7-42A9-97B9-B3C6BEAA48D5}"/>
    <cellStyle name="40% - Accent2 7 3" xfId="5801" xr:uid="{00000000-0005-0000-0000-0000F9040000}"/>
    <cellStyle name="40% - Accent2 7 3 2" xfId="14243" xr:uid="{999DBD47-8059-4538-A4D8-2486D431A46C}"/>
    <cellStyle name="40% - Accent2 7 4" xfId="10025" xr:uid="{3A3E1345-4A71-4E96-8C4F-2FD320C7D2CE}"/>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5D713A76-E2E0-433D-B616-76F8490311FC}"/>
    <cellStyle name="40% - Accent2 8 2 3" xfId="12583" xr:uid="{3E8BB304-CF75-4E18-9DDD-617A992CF581}"/>
    <cellStyle name="40% - Accent2 8 3" xfId="6214" xr:uid="{00000000-0005-0000-0000-0000FD040000}"/>
    <cellStyle name="40% - Accent2 8 3 2" xfId="14656" xr:uid="{CE514AC3-B320-489B-A3D0-2FE611CB60C5}"/>
    <cellStyle name="40% - Accent2 8 4" xfId="10438" xr:uid="{AB6861B5-10D0-44BF-A291-405F4F1A652A}"/>
    <cellStyle name="40% - Accent2 9" xfId="2320" xr:uid="{00000000-0005-0000-0000-0000FE040000}"/>
    <cellStyle name="40% - Accent2 9 2" xfId="6627" xr:uid="{00000000-0005-0000-0000-0000FF040000}"/>
    <cellStyle name="40% - Accent2 9 2 2" xfId="15069" xr:uid="{D682DA8D-5296-4D1E-9910-C38E0137EE0C}"/>
    <cellStyle name="40% - Accent2 9 3" xfId="10851" xr:uid="{867BE66A-2879-4824-8860-AE1C47FEC7B0}"/>
    <cellStyle name="40% - Accent3" xfId="65" builtinId="39" customBuiltin="1"/>
    <cellStyle name="40% - Accent3 10" xfId="4569" xr:uid="{00000000-0005-0000-0000-000001050000}"/>
    <cellStyle name="40% - Accent3 10 2" xfId="13011" xr:uid="{D9E2960F-AE22-4746-8CA9-C5F0FD9FD274}"/>
    <cellStyle name="40% - Accent3 11" xfId="8793" xr:uid="{CD6C85FA-4A68-465A-96AB-971F78C75012}"/>
    <cellStyle name="40% - Accent3 2" xfId="66" xr:uid="{00000000-0005-0000-0000-000002050000}"/>
    <cellStyle name="40% - Accent3 2 10" xfId="8794" xr:uid="{D9DC758C-5470-4693-BE16-C37F8D788703}"/>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D52045E5-006A-4308-99F1-67AFE68ACDE6}"/>
    <cellStyle name="40% - Accent3 2 2 2 2 2 3" xfId="11355" xr:uid="{115E861C-10D6-4617-A034-0C1C584E2FDD}"/>
    <cellStyle name="40% - Accent3 2 2 2 2 3" xfId="4986" xr:uid="{00000000-0005-0000-0000-000008050000}"/>
    <cellStyle name="40% - Accent3 2 2 2 2 3 2" xfId="13428" xr:uid="{8CC46FCF-36A3-48E0-B4A5-80BD59AC6FCC}"/>
    <cellStyle name="40% - Accent3 2 2 2 2 4" xfId="9210" xr:uid="{D898AF78-ED37-46B0-8A1E-5C2AD9CF792A}"/>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2BFDEB23-06A9-4A45-99E6-9686433BBA10}"/>
    <cellStyle name="40% - Accent3 2 2 2 3 2 3" xfId="11768" xr:uid="{0C41C135-DE5A-4DAA-B89E-3C48121340AF}"/>
    <cellStyle name="40% - Accent3 2 2 2 3 3" xfId="5399" xr:uid="{00000000-0005-0000-0000-00000C050000}"/>
    <cellStyle name="40% - Accent3 2 2 2 3 3 2" xfId="13841" xr:uid="{89D7DD50-A0F8-47E6-998B-0C0BC744B8D6}"/>
    <cellStyle name="40% - Accent3 2 2 2 3 4" xfId="9623" xr:uid="{559BDB51-21C7-4C0D-8E92-25D918A3F142}"/>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BFAF450A-F70C-44A5-8CFB-80739354A2B4}"/>
    <cellStyle name="40% - Accent3 2 2 2 4 2 3" xfId="12181" xr:uid="{35F59F14-32A1-47F5-8BD3-D2AB8FD332C8}"/>
    <cellStyle name="40% - Accent3 2 2 2 4 3" xfId="5812" xr:uid="{00000000-0005-0000-0000-000010050000}"/>
    <cellStyle name="40% - Accent3 2 2 2 4 3 2" xfId="14254" xr:uid="{ABE5D333-DF8F-4F31-A284-3A9ACDEBDB1F}"/>
    <cellStyle name="40% - Accent3 2 2 2 4 4" xfId="10036" xr:uid="{3296B0F8-3091-4B42-8C25-E1CE7DB36AFC}"/>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D4933861-7B7F-4D83-8833-69E9566D506B}"/>
    <cellStyle name="40% - Accent3 2 2 2 5 2 3" xfId="12594" xr:uid="{3353A94A-1D40-4FAF-9E67-0677BD7B533D}"/>
    <cellStyle name="40% - Accent3 2 2 2 5 3" xfId="6225" xr:uid="{00000000-0005-0000-0000-000014050000}"/>
    <cellStyle name="40% - Accent3 2 2 2 5 3 2" xfId="14667" xr:uid="{1E9553FE-6414-46DC-8C16-F03AE62E12C9}"/>
    <cellStyle name="40% - Accent3 2 2 2 5 4" xfId="10449" xr:uid="{0FD2F762-346A-4164-97D0-3B4AF60F9E7D}"/>
    <cellStyle name="40% - Accent3 2 2 2 6" xfId="2331" xr:uid="{00000000-0005-0000-0000-000015050000}"/>
    <cellStyle name="40% - Accent3 2 2 2 6 2" xfId="6638" xr:uid="{00000000-0005-0000-0000-000016050000}"/>
    <cellStyle name="40% - Accent3 2 2 2 6 2 2" xfId="15080" xr:uid="{B7C2A222-3524-4238-87BF-2DF519241FEF}"/>
    <cellStyle name="40% - Accent3 2 2 2 6 3" xfId="10862" xr:uid="{126CCFA8-68A0-4FAC-801F-FE083D315321}"/>
    <cellStyle name="40% - Accent3 2 2 2 7" xfId="4572" xr:uid="{00000000-0005-0000-0000-000017050000}"/>
    <cellStyle name="40% - Accent3 2 2 2 7 2" xfId="13014" xr:uid="{95F5E91D-0208-44D3-8BB6-85C48EAA37FD}"/>
    <cellStyle name="40% - Accent3 2 2 2 8" xfId="8796" xr:uid="{C9672229-A015-445A-BBA9-DA717D27F4E2}"/>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776823F1-6DA8-455A-BAF2-EB613ED21ED4}"/>
    <cellStyle name="40% - Accent3 2 2 3 2 3" xfId="11354" xr:uid="{168FAAA5-291D-4EAD-A891-051C2C90E5A8}"/>
    <cellStyle name="40% - Accent3 2 2 3 3" xfId="4985" xr:uid="{00000000-0005-0000-0000-00001B050000}"/>
    <cellStyle name="40% - Accent3 2 2 3 3 2" xfId="13427" xr:uid="{7709AC78-CC6C-41E1-90BD-4D75707FA3D9}"/>
    <cellStyle name="40% - Accent3 2 2 3 4" xfId="9209" xr:uid="{750AEEDE-1E9E-4746-8D6E-CF7068E30DA1}"/>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46225DB9-457B-4737-B374-37D657A8EB84}"/>
    <cellStyle name="40% - Accent3 2 2 4 2 3" xfId="11767" xr:uid="{437A9F17-7DD5-420F-ADD3-46909CC63748}"/>
    <cellStyle name="40% - Accent3 2 2 4 3" xfId="5398" xr:uid="{00000000-0005-0000-0000-00001F050000}"/>
    <cellStyle name="40% - Accent3 2 2 4 3 2" xfId="13840" xr:uid="{48D1CAEA-67C6-41B7-8B89-6708BCF1A747}"/>
    <cellStyle name="40% - Accent3 2 2 4 4" xfId="9622" xr:uid="{21D71CA0-29DC-4189-86D5-4C227FF60950}"/>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E02B5324-3DCD-49A6-9966-70A16E6D9DE4}"/>
    <cellStyle name="40% - Accent3 2 2 5 2 3" xfId="12180" xr:uid="{F13EB724-E37D-4E15-AEE1-A6C91965C7BE}"/>
    <cellStyle name="40% - Accent3 2 2 5 3" xfId="5811" xr:uid="{00000000-0005-0000-0000-000023050000}"/>
    <cellStyle name="40% - Accent3 2 2 5 3 2" xfId="14253" xr:uid="{CF379664-3A18-4DC0-8349-2351D2E01353}"/>
    <cellStyle name="40% - Accent3 2 2 5 4" xfId="10035" xr:uid="{544D2355-D944-466B-9E88-3E725DF2B179}"/>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B3287ECE-ED52-4C2E-97FB-7E08E0F7CF35}"/>
    <cellStyle name="40% - Accent3 2 2 6 2 3" xfId="12593" xr:uid="{DE73BA1E-D9E0-41D1-8927-D0D92B12351C}"/>
    <cellStyle name="40% - Accent3 2 2 6 3" xfId="6224" xr:uid="{00000000-0005-0000-0000-000027050000}"/>
    <cellStyle name="40% - Accent3 2 2 6 3 2" xfId="14666" xr:uid="{E3078E35-EC95-4336-A002-44F30C265006}"/>
    <cellStyle name="40% - Accent3 2 2 6 4" xfId="10448" xr:uid="{DA7BCC20-E906-4960-8E96-59B8A4993248}"/>
    <cellStyle name="40% - Accent3 2 2 7" xfId="2330" xr:uid="{00000000-0005-0000-0000-000028050000}"/>
    <cellStyle name="40% - Accent3 2 2 7 2" xfId="6637" xr:uid="{00000000-0005-0000-0000-000029050000}"/>
    <cellStyle name="40% - Accent3 2 2 7 2 2" xfId="15079" xr:uid="{AE519CDC-D694-4FEC-930E-8D3C7C32DD85}"/>
    <cellStyle name="40% - Accent3 2 2 7 3" xfId="10861" xr:uid="{6D0D2200-716B-4ADD-8583-26719E8CF6B8}"/>
    <cellStyle name="40% - Accent3 2 2 8" xfId="4571" xr:uid="{00000000-0005-0000-0000-00002A050000}"/>
    <cellStyle name="40% - Accent3 2 2 8 2" xfId="13013" xr:uid="{842D7C60-B033-457D-9C48-2EE87DB6EF9F}"/>
    <cellStyle name="40% - Accent3 2 2 9" xfId="8795" xr:uid="{709AF698-24D4-4CDA-A331-68FFF6ED5A8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C92464F9-14DF-46F9-B897-4C0C222A6A45}"/>
    <cellStyle name="40% - Accent3 2 3 2 2 3" xfId="11356" xr:uid="{A4360D33-2C6F-4AE4-A3AD-DF88B93588F6}"/>
    <cellStyle name="40% - Accent3 2 3 2 3" xfId="4987" xr:uid="{00000000-0005-0000-0000-00002F050000}"/>
    <cellStyle name="40% - Accent3 2 3 2 3 2" xfId="13429" xr:uid="{1D218B34-E636-45AD-8C36-F47AD81CFBAB}"/>
    <cellStyle name="40% - Accent3 2 3 2 4" xfId="9211" xr:uid="{0806A567-2674-4742-8D47-AAD50653B937}"/>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E780FFC2-08C8-4B19-A3FD-53F795E621F1}"/>
    <cellStyle name="40% - Accent3 2 3 3 2 3" xfId="11769" xr:uid="{CD9421B9-2268-48FA-A697-D455A5F7C5D9}"/>
    <cellStyle name="40% - Accent3 2 3 3 3" xfId="5400" xr:uid="{00000000-0005-0000-0000-000033050000}"/>
    <cellStyle name="40% - Accent3 2 3 3 3 2" xfId="13842" xr:uid="{3B323E20-2053-4BFA-91E5-B826C255300B}"/>
    <cellStyle name="40% - Accent3 2 3 3 4" xfId="9624" xr:uid="{C3E3F0AC-E3E7-4EF0-8D4C-559ECC483FDF}"/>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64B56C33-8979-48C2-9440-23D981CF3768}"/>
    <cellStyle name="40% - Accent3 2 3 4 2 3" xfId="12182" xr:uid="{02AEB888-635C-4D87-8C67-5961D50916FD}"/>
    <cellStyle name="40% - Accent3 2 3 4 3" xfId="5813" xr:uid="{00000000-0005-0000-0000-000037050000}"/>
    <cellStyle name="40% - Accent3 2 3 4 3 2" xfId="14255" xr:uid="{AC6D3D3C-9C53-443C-B890-932199336D5D}"/>
    <cellStyle name="40% - Accent3 2 3 4 4" xfId="10037" xr:uid="{899831FC-A884-4916-881A-F0B73271C94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B9BFD4A2-09C8-4FF5-933A-4B78180CB87E}"/>
    <cellStyle name="40% - Accent3 2 3 5 2 3" xfId="12595" xr:uid="{32E69944-DB5F-4C41-A59C-2C5123ED52DF}"/>
    <cellStyle name="40% - Accent3 2 3 5 3" xfId="6226" xr:uid="{00000000-0005-0000-0000-00003B050000}"/>
    <cellStyle name="40% - Accent3 2 3 5 3 2" xfId="14668" xr:uid="{D20E236C-79AF-4D2D-92DC-6956253D6F77}"/>
    <cellStyle name="40% - Accent3 2 3 5 4" xfId="10450" xr:uid="{86A87FED-76EE-4FE7-BA8E-95BDBB2C28D3}"/>
    <cellStyle name="40% - Accent3 2 3 6" xfId="2332" xr:uid="{00000000-0005-0000-0000-00003C050000}"/>
    <cellStyle name="40% - Accent3 2 3 6 2" xfId="6639" xr:uid="{00000000-0005-0000-0000-00003D050000}"/>
    <cellStyle name="40% - Accent3 2 3 6 2 2" xfId="15081" xr:uid="{86D5B3E3-335D-4855-96C0-915433F02B79}"/>
    <cellStyle name="40% - Accent3 2 3 6 3" xfId="10863" xr:uid="{438D1731-0B85-43A8-8058-4EE0D25F7788}"/>
    <cellStyle name="40% - Accent3 2 3 7" xfId="4573" xr:uid="{00000000-0005-0000-0000-00003E050000}"/>
    <cellStyle name="40% - Accent3 2 3 7 2" xfId="13015" xr:uid="{2DA35450-E1C9-48B9-98E8-44C6333B0A37}"/>
    <cellStyle name="40% - Accent3 2 3 8" xfId="8797" xr:uid="{1614437F-2CFD-4739-9EE9-56748E1E862F}"/>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1A307214-2853-48EF-92C5-19AAA7D3A2F8}"/>
    <cellStyle name="40% - Accent3 2 4 2 3" xfId="11353" xr:uid="{1A6458C2-C410-434D-A783-0908E669A524}"/>
    <cellStyle name="40% - Accent3 2 4 3" xfId="4984" xr:uid="{00000000-0005-0000-0000-000042050000}"/>
    <cellStyle name="40% - Accent3 2 4 3 2" xfId="13426" xr:uid="{0583A7D2-44EF-42F1-B778-909B14C561FB}"/>
    <cellStyle name="40% - Accent3 2 4 4" xfId="9208" xr:uid="{439EC7F9-B36D-45E3-AB2F-BFF59CDDE916}"/>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3E1A036E-32EE-4D98-8364-9DE03D7B8E0C}"/>
    <cellStyle name="40% - Accent3 2 5 2 3" xfId="11766" xr:uid="{75AE4CDE-602B-4C6E-BE4E-1C93FD114057}"/>
    <cellStyle name="40% - Accent3 2 5 3" xfId="5397" xr:uid="{00000000-0005-0000-0000-000046050000}"/>
    <cellStyle name="40% - Accent3 2 5 3 2" xfId="13839" xr:uid="{D4A9039A-ECFE-4CD5-84C3-860E0AB01911}"/>
    <cellStyle name="40% - Accent3 2 5 4" xfId="9621" xr:uid="{F90A662A-B097-4DFC-BC1A-95A060CC2E6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3FD80759-253E-4009-B96E-E46F5F4EE4FA}"/>
    <cellStyle name="40% - Accent3 2 6 2 3" xfId="12179" xr:uid="{6CCAD4F3-9753-4FBE-B1C8-7C1DCB17124D}"/>
    <cellStyle name="40% - Accent3 2 6 3" xfId="5810" xr:uid="{00000000-0005-0000-0000-00004A050000}"/>
    <cellStyle name="40% - Accent3 2 6 3 2" xfId="14252" xr:uid="{55C66E66-520E-475D-87C7-FF23BF2165C4}"/>
    <cellStyle name="40% - Accent3 2 6 4" xfId="10034" xr:uid="{59E33196-19A2-4B47-B236-B5B024B1D64D}"/>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801877D9-71D6-4E87-974A-3CA5F90B4F12}"/>
    <cellStyle name="40% - Accent3 2 7 2 3" xfId="12592" xr:uid="{9A556566-E6BB-4AE9-BED5-FBEECC6D3A1A}"/>
    <cellStyle name="40% - Accent3 2 7 3" xfId="6223" xr:uid="{00000000-0005-0000-0000-00004E050000}"/>
    <cellStyle name="40% - Accent3 2 7 3 2" xfId="14665" xr:uid="{3FB19F6E-7273-4EA1-8795-1F9AC90213DB}"/>
    <cellStyle name="40% - Accent3 2 7 4" xfId="10447" xr:uid="{D463AAD7-FB55-4077-BD39-3C37D32477E3}"/>
    <cellStyle name="40% - Accent3 2 8" xfId="2329" xr:uid="{00000000-0005-0000-0000-00004F050000}"/>
    <cellStyle name="40% - Accent3 2 8 2" xfId="6636" xr:uid="{00000000-0005-0000-0000-000050050000}"/>
    <cellStyle name="40% - Accent3 2 8 2 2" xfId="15078" xr:uid="{9E4EBCFA-475D-4E64-834B-62ABE628CD1C}"/>
    <cellStyle name="40% - Accent3 2 8 3" xfId="10860" xr:uid="{AEF50FFD-A1E2-4EEF-88BB-4EADC7C3B546}"/>
    <cellStyle name="40% - Accent3 2 9" xfId="4570" xr:uid="{00000000-0005-0000-0000-000051050000}"/>
    <cellStyle name="40% - Accent3 2 9 2" xfId="13012" xr:uid="{452C1E80-C3A4-4FE3-B953-8BC5A0C0B2BE}"/>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99FDB0EB-475C-4378-971E-C7768AF8A17A}"/>
    <cellStyle name="40% - Accent3 3 2 2 2 3" xfId="11358" xr:uid="{919BA57F-F49E-46B6-8801-326F70235B96}"/>
    <cellStyle name="40% - Accent3 3 2 2 3" xfId="4989" xr:uid="{00000000-0005-0000-0000-000057050000}"/>
    <cellStyle name="40% - Accent3 3 2 2 3 2" xfId="13431" xr:uid="{E44B9287-2686-4235-BC8F-22AC1D8E7925}"/>
    <cellStyle name="40% - Accent3 3 2 2 4" xfId="9213" xr:uid="{09FD00B5-728C-4802-88C8-4F0309E1E89C}"/>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5BF8B2E8-08A5-43C5-93A5-7728EE2F0383}"/>
    <cellStyle name="40% - Accent3 3 2 3 2 3" xfId="11771" xr:uid="{38F22BD8-385A-426A-A304-FE38C29D8C72}"/>
    <cellStyle name="40% - Accent3 3 2 3 3" xfId="5402" xr:uid="{00000000-0005-0000-0000-00005B050000}"/>
    <cellStyle name="40% - Accent3 3 2 3 3 2" xfId="13844" xr:uid="{DB83BD01-9B30-4828-9D31-C21122CC3F43}"/>
    <cellStyle name="40% - Accent3 3 2 3 4" xfId="9626" xr:uid="{99D7A43C-096C-4D59-93DE-AAE634EC33BD}"/>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682EF315-96A0-40AD-A751-6FAAF8557B87}"/>
    <cellStyle name="40% - Accent3 3 2 4 2 3" xfId="12184" xr:uid="{B6EC028E-373B-4173-A956-D2B75E4DD86D}"/>
    <cellStyle name="40% - Accent3 3 2 4 3" xfId="5815" xr:uid="{00000000-0005-0000-0000-00005F050000}"/>
    <cellStyle name="40% - Accent3 3 2 4 3 2" xfId="14257" xr:uid="{4F55E9A3-451C-43A6-9765-D138A048CD89}"/>
    <cellStyle name="40% - Accent3 3 2 4 4" xfId="10039" xr:uid="{2E94E9A4-41E4-43B3-ABC4-D700B0D37BFC}"/>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99555DFC-A3D3-4139-9F90-87B2C78EE1E9}"/>
    <cellStyle name="40% - Accent3 3 2 5 2 3" xfId="12597" xr:uid="{4EC03BC0-06C7-473C-961A-729FE9911C83}"/>
    <cellStyle name="40% - Accent3 3 2 5 3" xfId="6228" xr:uid="{00000000-0005-0000-0000-000063050000}"/>
    <cellStyle name="40% - Accent3 3 2 5 3 2" xfId="14670" xr:uid="{0912D54D-E91A-4A68-A780-4431D94194E0}"/>
    <cellStyle name="40% - Accent3 3 2 5 4" xfId="10452" xr:uid="{A96C793C-D2A3-4A97-A0C4-415C8D96B863}"/>
    <cellStyle name="40% - Accent3 3 2 6" xfId="2334" xr:uid="{00000000-0005-0000-0000-000064050000}"/>
    <cellStyle name="40% - Accent3 3 2 6 2" xfId="6641" xr:uid="{00000000-0005-0000-0000-000065050000}"/>
    <cellStyle name="40% - Accent3 3 2 6 2 2" xfId="15083" xr:uid="{42758804-D37B-4DA7-9888-7E127FAEA145}"/>
    <cellStyle name="40% - Accent3 3 2 6 3" xfId="10865" xr:uid="{10CCDD4A-190D-4BBB-B1A2-B4FCC84606B8}"/>
    <cellStyle name="40% - Accent3 3 2 7" xfId="4575" xr:uid="{00000000-0005-0000-0000-000066050000}"/>
    <cellStyle name="40% - Accent3 3 2 7 2" xfId="13017" xr:uid="{FBB617B2-234A-4AB7-BAC2-700A4DA3973A}"/>
    <cellStyle name="40% - Accent3 3 2 8" xfId="8799" xr:uid="{6F62A4C9-640F-4CC7-A4E8-7FD6FE80AB7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5F49F330-86D1-433F-862D-6BB09A88FDA8}"/>
    <cellStyle name="40% - Accent3 3 3 2 3" xfId="11357" xr:uid="{6682AC02-669D-4B39-843C-B9B9794E959B}"/>
    <cellStyle name="40% - Accent3 3 3 3" xfId="4988" xr:uid="{00000000-0005-0000-0000-00006A050000}"/>
    <cellStyle name="40% - Accent3 3 3 3 2" xfId="13430" xr:uid="{67F4ED9D-A60E-4525-AC58-A04885F837E7}"/>
    <cellStyle name="40% - Accent3 3 3 4" xfId="9212" xr:uid="{F66EC2D2-154C-4FA8-B431-788CACDDFFD5}"/>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7CE4DBA6-AF6F-4C0F-AAEA-DD6F4F85D114}"/>
    <cellStyle name="40% - Accent3 3 4 2 3" xfId="11770" xr:uid="{62267313-4CD0-4524-885F-12D4ECB3C339}"/>
    <cellStyle name="40% - Accent3 3 4 3" xfId="5401" xr:uid="{00000000-0005-0000-0000-00006E050000}"/>
    <cellStyle name="40% - Accent3 3 4 3 2" xfId="13843" xr:uid="{B61610DC-0B3F-46BA-854C-ACEAFA3AE979}"/>
    <cellStyle name="40% - Accent3 3 4 4" xfId="9625" xr:uid="{329E433C-1F38-4B00-8004-C19BCBF86739}"/>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C7DCCAB0-41FE-4D54-A227-6EAFFA40FA26}"/>
    <cellStyle name="40% - Accent3 3 5 2 3" xfId="12183" xr:uid="{42A6BA16-9315-450C-846F-336B7873D565}"/>
    <cellStyle name="40% - Accent3 3 5 3" xfId="5814" xr:uid="{00000000-0005-0000-0000-000072050000}"/>
    <cellStyle name="40% - Accent3 3 5 3 2" xfId="14256" xr:uid="{29863016-38CF-471C-A4DB-AC1F5E90961C}"/>
    <cellStyle name="40% - Accent3 3 5 4" xfId="10038" xr:uid="{7CEA20E9-E5FC-4F75-AC27-1E7690BBEFEF}"/>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EFE28E37-38BD-4A81-940D-1F617033E02C}"/>
    <cellStyle name="40% - Accent3 3 6 2 3" xfId="12596" xr:uid="{4428190C-6D19-45F5-8E42-525D5130B5E1}"/>
    <cellStyle name="40% - Accent3 3 6 3" xfId="6227" xr:uid="{00000000-0005-0000-0000-000076050000}"/>
    <cellStyle name="40% - Accent3 3 6 3 2" xfId="14669" xr:uid="{2A852C4C-9D43-47D2-A09C-4D45A857D654}"/>
    <cellStyle name="40% - Accent3 3 6 4" xfId="10451" xr:uid="{9AEDC290-4A4F-4F49-8819-25B5A816DCA0}"/>
    <cellStyle name="40% - Accent3 3 7" xfId="2333" xr:uid="{00000000-0005-0000-0000-000077050000}"/>
    <cellStyle name="40% - Accent3 3 7 2" xfId="6640" xr:uid="{00000000-0005-0000-0000-000078050000}"/>
    <cellStyle name="40% - Accent3 3 7 2 2" xfId="15082" xr:uid="{AC4F0BA0-312A-480C-8CB0-A58A9747059B}"/>
    <cellStyle name="40% - Accent3 3 7 3" xfId="10864" xr:uid="{699FE612-A73D-4481-91C0-A4C645B7D412}"/>
    <cellStyle name="40% - Accent3 3 8" xfId="4574" xr:uid="{00000000-0005-0000-0000-000079050000}"/>
    <cellStyle name="40% - Accent3 3 8 2" xfId="13016" xr:uid="{0D376358-FBD1-4E03-A03D-405142D326F9}"/>
    <cellStyle name="40% - Accent3 3 9" xfId="8798" xr:uid="{124AE3BD-DD47-43A4-9492-F39992F958C7}"/>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1CCBC4D5-C529-4EA8-B000-FD76C7CA8D6E}"/>
    <cellStyle name="40% - Accent3 4 2 2 3" xfId="11359" xr:uid="{ACD5DACE-2699-4E4C-9A16-716302954821}"/>
    <cellStyle name="40% - Accent3 4 2 3" xfId="4990" xr:uid="{00000000-0005-0000-0000-00007E050000}"/>
    <cellStyle name="40% - Accent3 4 2 3 2" xfId="13432" xr:uid="{2FFEF3D8-C8A7-4416-9AEA-8F00823809B6}"/>
    <cellStyle name="40% - Accent3 4 2 4" xfId="9214" xr:uid="{D790C7E6-3FE3-4899-BB28-4D5788DD3AF4}"/>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A071053E-B871-403C-A1FA-D3C510174DC1}"/>
    <cellStyle name="40% - Accent3 4 3 2 3" xfId="11772" xr:uid="{C20CF2C4-DF40-471D-8661-C1600061B7C1}"/>
    <cellStyle name="40% - Accent3 4 3 3" xfId="5403" xr:uid="{00000000-0005-0000-0000-000082050000}"/>
    <cellStyle name="40% - Accent3 4 3 3 2" xfId="13845" xr:uid="{4723D1F7-E8EE-495E-90D4-DCE295EF4FAC}"/>
    <cellStyle name="40% - Accent3 4 3 4" xfId="9627" xr:uid="{64629F2E-98BB-4ABA-B237-DD08A24ADB8A}"/>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44AF887-1E67-4C9C-A09B-684758AF28EF}"/>
    <cellStyle name="40% - Accent3 4 4 2 3" xfId="12185" xr:uid="{9A455702-4038-4EBB-B36C-E9D7E4CCE898}"/>
    <cellStyle name="40% - Accent3 4 4 3" xfId="5816" xr:uid="{00000000-0005-0000-0000-000086050000}"/>
    <cellStyle name="40% - Accent3 4 4 3 2" xfId="14258" xr:uid="{C8CABB20-5DDB-41E1-8B2F-BC790DF303EF}"/>
    <cellStyle name="40% - Accent3 4 4 4" xfId="10040" xr:uid="{12A1D5FE-3539-4E3B-A3F6-5531C7538C89}"/>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A0D43805-E41B-435C-B5AD-30ADC82F7853}"/>
    <cellStyle name="40% - Accent3 4 5 2 3" xfId="12598" xr:uid="{35019B5F-659E-424E-9F4F-70B6C7DC98E5}"/>
    <cellStyle name="40% - Accent3 4 5 3" xfId="6229" xr:uid="{00000000-0005-0000-0000-00008A050000}"/>
    <cellStyle name="40% - Accent3 4 5 3 2" xfId="14671" xr:uid="{1FE46690-D001-431B-A9B2-026D36B47401}"/>
    <cellStyle name="40% - Accent3 4 5 4" xfId="10453" xr:uid="{EBD52AE5-C275-4897-9337-D7C76548E62E}"/>
    <cellStyle name="40% - Accent3 4 6" xfId="2335" xr:uid="{00000000-0005-0000-0000-00008B050000}"/>
    <cellStyle name="40% - Accent3 4 6 2" xfId="6642" xr:uid="{00000000-0005-0000-0000-00008C050000}"/>
    <cellStyle name="40% - Accent3 4 6 2 2" xfId="15084" xr:uid="{9D921897-2CFB-4E1E-805A-340A6EB86782}"/>
    <cellStyle name="40% - Accent3 4 6 3" xfId="10866" xr:uid="{4F7F6F25-BCF1-4A6A-9DB5-24E74390AD8A}"/>
    <cellStyle name="40% - Accent3 4 7" xfId="4576" xr:uid="{00000000-0005-0000-0000-00008D050000}"/>
    <cellStyle name="40% - Accent3 4 7 2" xfId="13018" xr:uid="{6BA71CF0-10E3-4942-8225-B10C4D6DE848}"/>
    <cellStyle name="40% - Accent3 4 8" xfId="8800" xr:uid="{B9A1FBE6-1249-4FE5-80C4-DB07C8E17B60}"/>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B064B2AD-3ACA-4E5B-AEBD-FA261768B165}"/>
    <cellStyle name="40% - Accent3 5 2 3" xfId="11352" xr:uid="{F16600AC-6A54-4C5E-A0EB-51FC2AC58BAD}"/>
    <cellStyle name="40% - Accent3 5 3" xfId="4983" xr:uid="{00000000-0005-0000-0000-000091050000}"/>
    <cellStyle name="40% - Accent3 5 3 2" xfId="13425" xr:uid="{18F0FC9D-A0E5-4425-AFB9-673EE5ECCC75}"/>
    <cellStyle name="40% - Accent3 5 4" xfId="9207" xr:uid="{25333117-42A4-4931-BD39-A8B072660328}"/>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EBFE5320-2459-457E-B9F4-FA58F1DC08AA}"/>
    <cellStyle name="40% - Accent3 6 2 3" xfId="11765" xr:uid="{A5C6B3A3-B769-4900-9671-303B49A3BCCA}"/>
    <cellStyle name="40% - Accent3 6 3" xfId="5396" xr:uid="{00000000-0005-0000-0000-000095050000}"/>
    <cellStyle name="40% - Accent3 6 3 2" xfId="13838" xr:uid="{DB528184-9133-4E5B-A9FA-4E2022525434}"/>
    <cellStyle name="40% - Accent3 6 4" xfId="9620" xr:uid="{4C16B40D-A8C5-4958-BE27-1B2BCEF115C9}"/>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97267220-141A-4DB8-BDA6-A65E017DF151}"/>
    <cellStyle name="40% - Accent3 7 2 3" xfId="12178" xr:uid="{DCDBB250-65EE-4C54-B84A-7C70593E77A3}"/>
    <cellStyle name="40% - Accent3 7 3" xfId="5809" xr:uid="{00000000-0005-0000-0000-000099050000}"/>
    <cellStyle name="40% - Accent3 7 3 2" xfId="14251" xr:uid="{D58B7954-167E-4109-9E49-A9F2B3373854}"/>
    <cellStyle name="40% - Accent3 7 4" xfId="10033" xr:uid="{A7E7B744-4AB0-4EE8-9CB8-E2446213DA09}"/>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DFAAC3C2-82B6-4FA3-B26F-D63CD824F126}"/>
    <cellStyle name="40% - Accent3 8 2 3" xfId="12591" xr:uid="{9066D043-40B1-4408-8357-0527DE8DBDAF}"/>
    <cellStyle name="40% - Accent3 8 3" xfId="6222" xr:uid="{00000000-0005-0000-0000-00009D050000}"/>
    <cellStyle name="40% - Accent3 8 3 2" xfId="14664" xr:uid="{9B2376AB-513E-4F02-A7EE-B1BAB9875736}"/>
    <cellStyle name="40% - Accent3 8 4" xfId="10446" xr:uid="{B337DBFF-F9EE-459A-AC57-E7323E0CAE75}"/>
    <cellStyle name="40% - Accent3 9" xfId="2328" xr:uid="{00000000-0005-0000-0000-00009E050000}"/>
    <cellStyle name="40% - Accent3 9 2" xfId="6635" xr:uid="{00000000-0005-0000-0000-00009F050000}"/>
    <cellStyle name="40% - Accent3 9 2 2" xfId="15077" xr:uid="{613AADDE-F221-40DC-94EA-755633D6E644}"/>
    <cellStyle name="40% - Accent3 9 3" xfId="10859" xr:uid="{CC0AF4D2-6AFC-4528-A228-A7FBDA724002}"/>
    <cellStyle name="40% - Accent4" xfId="73" builtinId="43" customBuiltin="1"/>
    <cellStyle name="40% - Accent4 10" xfId="4577" xr:uid="{00000000-0005-0000-0000-0000A1050000}"/>
    <cellStyle name="40% - Accent4 10 2" xfId="13019" xr:uid="{81811329-E279-4E25-9576-23451B4403ED}"/>
    <cellStyle name="40% - Accent4 11" xfId="8801" xr:uid="{B121F03B-D2C2-4B36-BE5B-8AAB48EA3E2A}"/>
    <cellStyle name="40% - Accent4 2" xfId="74" xr:uid="{00000000-0005-0000-0000-0000A2050000}"/>
    <cellStyle name="40% - Accent4 2 10" xfId="8802" xr:uid="{E73D9CE9-7721-4C8D-BB78-0E349458EC41}"/>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291A1DA0-5159-4665-B23D-F654C5FEB4E4}"/>
    <cellStyle name="40% - Accent4 2 2 2 2 2 3" xfId="11363" xr:uid="{83D0E748-1228-4E4C-903E-192B7A2F1043}"/>
    <cellStyle name="40% - Accent4 2 2 2 2 3" xfId="4994" xr:uid="{00000000-0005-0000-0000-0000A8050000}"/>
    <cellStyle name="40% - Accent4 2 2 2 2 3 2" xfId="13436" xr:uid="{F433A60B-67BF-49AF-AF70-544275FE0DE6}"/>
    <cellStyle name="40% - Accent4 2 2 2 2 4" xfId="9218" xr:uid="{53865457-F278-4A51-8962-452D6E4423E3}"/>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212BBDC7-0391-4C44-AE79-E7ADECD0A908}"/>
    <cellStyle name="40% - Accent4 2 2 2 3 2 3" xfId="11776" xr:uid="{76DD65DB-7396-4E24-ABA9-BD7A54D555D1}"/>
    <cellStyle name="40% - Accent4 2 2 2 3 3" xfId="5407" xr:uid="{00000000-0005-0000-0000-0000AC050000}"/>
    <cellStyle name="40% - Accent4 2 2 2 3 3 2" xfId="13849" xr:uid="{D4FE50BF-8FCF-43D5-8518-3B48285E707A}"/>
    <cellStyle name="40% - Accent4 2 2 2 3 4" xfId="9631" xr:uid="{B17F89B2-A310-4BAF-9699-E12D006DF0F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BEF0186B-AC1F-4ACC-9F4B-6216D3E6FF51}"/>
    <cellStyle name="40% - Accent4 2 2 2 4 2 3" xfId="12189" xr:uid="{EDBB7C5C-001A-4CD1-AD9D-5099D3279C63}"/>
    <cellStyle name="40% - Accent4 2 2 2 4 3" xfId="5820" xr:uid="{00000000-0005-0000-0000-0000B0050000}"/>
    <cellStyle name="40% - Accent4 2 2 2 4 3 2" xfId="14262" xr:uid="{18FBF531-C23C-49D9-A9C8-A820D9DFFEE6}"/>
    <cellStyle name="40% - Accent4 2 2 2 4 4" xfId="10044" xr:uid="{C0901ED1-BC76-4DC3-A2CF-4E80B3EFEF27}"/>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F16B8113-1FDB-4DEB-A22C-D0D76063E153}"/>
    <cellStyle name="40% - Accent4 2 2 2 5 2 3" xfId="12602" xr:uid="{B683FEED-DCAB-49DD-9A7E-9B7E26DF7715}"/>
    <cellStyle name="40% - Accent4 2 2 2 5 3" xfId="6233" xr:uid="{00000000-0005-0000-0000-0000B4050000}"/>
    <cellStyle name="40% - Accent4 2 2 2 5 3 2" xfId="14675" xr:uid="{823E2117-1743-4374-A96A-E2F924740A8F}"/>
    <cellStyle name="40% - Accent4 2 2 2 5 4" xfId="10457" xr:uid="{1926A9E2-6F57-4D00-8694-CE0D6773D810}"/>
    <cellStyle name="40% - Accent4 2 2 2 6" xfId="2339" xr:uid="{00000000-0005-0000-0000-0000B5050000}"/>
    <cellStyle name="40% - Accent4 2 2 2 6 2" xfId="6646" xr:uid="{00000000-0005-0000-0000-0000B6050000}"/>
    <cellStyle name="40% - Accent4 2 2 2 6 2 2" xfId="15088" xr:uid="{63EC7566-CCC4-4CAC-8926-F71D105089C4}"/>
    <cellStyle name="40% - Accent4 2 2 2 6 3" xfId="10870" xr:uid="{BE45CD22-AEF8-4D21-A192-FE6C79450AF4}"/>
    <cellStyle name="40% - Accent4 2 2 2 7" xfId="4580" xr:uid="{00000000-0005-0000-0000-0000B7050000}"/>
    <cellStyle name="40% - Accent4 2 2 2 7 2" xfId="13022" xr:uid="{14192CD4-3BDB-41D3-939D-37922CB7AFD8}"/>
    <cellStyle name="40% - Accent4 2 2 2 8" xfId="8804" xr:uid="{E555461B-CBB9-4F2C-8F7E-38F636C3A2EE}"/>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E2F55502-E867-4626-A74E-892D0A3D4D25}"/>
    <cellStyle name="40% - Accent4 2 2 3 2 3" xfId="11362" xr:uid="{77C78D32-4960-4C5B-9F78-D8D96AA8E409}"/>
    <cellStyle name="40% - Accent4 2 2 3 3" xfId="4993" xr:uid="{00000000-0005-0000-0000-0000BB050000}"/>
    <cellStyle name="40% - Accent4 2 2 3 3 2" xfId="13435" xr:uid="{7054CFDA-6ED0-4693-83E7-28990FCAAC39}"/>
    <cellStyle name="40% - Accent4 2 2 3 4" xfId="9217" xr:uid="{9E60BD81-62A6-4F3E-8D7E-783B68AACB8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576B2B20-0546-4C2F-8017-5B4C880BD674}"/>
    <cellStyle name="40% - Accent4 2 2 4 2 3" xfId="11775" xr:uid="{73E91C96-6B5A-4DC7-A9E6-B9FE2750FD7B}"/>
    <cellStyle name="40% - Accent4 2 2 4 3" xfId="5406" xr:uid="{00000000-0005-0000-0000-0000BF050000}"/>
    <cellStyle name="40% - Accent4 2 2 4 3 2" xfId="13848" xr:uid="{935E9D9D-1AB3-4667-9A10-8902C7ACBE38}"/>
    <cellStyle name="40% - Accent4 2 2 4 4" xfId="9630" xr:uid="{6BDE15A8-CAE7-47B8-86D4-03E378A6B2A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716E9B8E-867C-4018-92F7-51741DF89FDD}"/>
    <cellStyle name="40% - Accent4 2 2 5 2 3" xfId="12188" xr:uid="{2CBFF363-FEDE-47FA-A5D7-B1F54EC2E24B}"/>
    <cellStyle name="40% - Accent4 2 2 5 3" xfId="5819" xr:uid="{00000000-0005-0000-0000-0000C3050000}"/>
    <cellStyle name="40% - Accent4 2 2 5 3 2" xfId="14261" xr:uid="{ABBAB2B5-A961-44E8-B87D-FA60A1607E97}"/>
    <cellStyle name="40% - Accent4 2 2 5 4" xfId="10043" xr:uid="{B253BFFB-D40D-4218-ACC3-C5A152591F4C}"/>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82B5EB50-2008-4863-AAE5-86CA6590C02A}"/>
    <cellStyle name="40% - Accent4 2 2 6 2 3" xfId="12601" xr:uid="{1CFAE8F3-0901-4682-AF81-45C6C45FE35C}"/>
    <cellStyle name="40% - Accent4 2 2 6 3" xfId="6232" xr:uid="{00000000-0005-0000-0000-0000C7050000}"/>
    <cellStyle name="40% - Accent4 2 2 6 3 2" xfId="14674" xr:uid="{67721BFC-4514-47B5-B58F-CCAC0039F830}"/>
    <cellStyle name="40% - Accent4 2 2 6 4" xfId="10456" xr:uid="{19AF7564-C085-487C-A8D2-EDC40370E4C2}"/>
    <cellStyle name="40% - Accent4 2 2 7" xfId="2338" xr:uid="{00000000-0005-0000-0000-0000C8050000}"/>
    <cellStyle name="40% - Accent4 2 2 7 2" xfId="6645" xr:uid="{00000000-0005-0000-0000-0000C9050000}"/>
    <cellStyle name="40% - Accent4 2 2 7 2 2" xfId="15087" xr:uid="{51F2D052-0FF5-4B1E-AF90-D5FE07CD66DB}"/>
    <cellStyle name="40% - Accent4 2 2 7 3" xfId="10869" xr:uid="{C42F3802-477A-47D4-91EF-9F1046709047}"/>
    <cellStyle name="40% - Accent4 2 2 8" xfId="4579" xr:uid="{00000000-0005-0000-0000-0000CA050000}"/>
    <cellStyle name="40% - Accent4 2 2 8 2" xfId="13021" xr:uid="{EC5A75EE-A73F-4AC9-9B0C-12DDFC6EF827}"/>
    <cellStyle name="40% - Accent4 2 2 9" xfId="8803" xr:uid="{EFC4F120-556C-4BEC-86D1-D7649777A837}"/>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48840ADF-3431-49CB-9D47-3374FCD55A6A}"/>
    <cellStyle name="40% - Accent4 2 3 2 2 3" xfId="11364" xr:uid="{B1D8DB30-DED3-47CF-80FB-56FE6635ABE5}"/>
    <cellStyle name="40% - Accent4 2 3 2 3" xfId="4995" xr:uid="{00000000-0005-0000-0000-0000CF050000}"/>
    <cellStyle name="40% - Accent4 2 3 2 3 2" xfId="13437" xr:uid="{B52825CB-03F4-477A-B7EB-D7DB0AE616BE}"/>
    <cellStyle name="40% - Accent4 2 3 2 4" xfId="9219" xr:uid="{0AC188D0-6FF1-4F4E-BAF3-250D079388D4}"/>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12A992BB-FE88-497B-8AC1-FE01785CBEF2}"/>
    <cellStyle name="40% - Accent4 2 3 3 2 3" xfId="11777" xr:uid="{9B6567AD-4E16-4216-A527-5A44AFF9339F}"/>
    <cellStyle name="40% - Accent4 2 3 3 3" xfId="5408" xr:uid="{00000000-0005-0000-0000-0000D3050000}"/>
    <cellStyle name="40% - Accent4 2 3 3 3 2" xfId="13850" xr:uid="{A7ABB068-F602-4F81-A634-2EFEB118ACC1}"/>
    <cellStyle name="40% - Accent4 2 3 3 4" xfId="9632" xr:uid="{2CC8A0AE-B717-4DC6-AEA8-8740F93F5E4C}"/>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49A9CA9F-7A05-4DB7-8CA6-3895C563CBE4}"/>
    <cellStyle name="40% - Accent4 2 3 4 2 3" xfId="12190" xr:uid="{B3D9F03C-4A87-4514-9CC9-E3F25701B718}"/>
    <cellStyle name="40% - Accent4 2 3 4 3" xfId="5821" xr:uid="{00000000-0005-0000-0000-0000D7050000}"/>
    <cellStyle name="40% - Accent4 2 3 4 3 2" xfId="14263" xr:uid="{1B872CBF-2006-449B-B570-8E56FCD2547A}"/>
    <cellStyle name="40% - Accent4 2 3 4 4" xfId="10045" xr:uid="{CA62AA54-F547-4890-BFE0-2969D5D49D5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1F670314-F77A-4E5A-A065-CF061C207FBD}"/>
    <cellStyle name="40% - Accent4 2 3 5 2 3" xfId="12603" xr:uid="{04A3342B-67D2-4396-A5FC-CFAD50BD3907}"/>
    <cellStyle name="40% - Accent4 2 3 5 3" xfId="6234" xr:uid="{00000000-0005-0000-0000-0000DB050000}"/>
    <cellStyle name="40% - Accent4 2 3 5 3 2" xfId="14676" xr:uid="{C25B8E3A-FC9C-4D0F-843C-277C5036D7FB}"/>
    <cellStyle name="40% - Accent4 2 3 5 4" xfId="10458" xr:uid="{562B6FFE-CE43-45CA-BC7A-0F5D9B562893}"/>
    <cellStyle name="40% - Accent4 2 3 6" xfId="2340" xr:uid="{00000000-0005-0000-0000-0000DC050000}"/>
    <cellStyle name="40% - Accent4 2 3 6 2" xfId="6647" xr:uid="{00000000-0005-0000-0000-0000DD050000}"/>
    <cellStyle name="40% - Accent4 2 3 6 2 2" xfId="15089" xr:uid="{8DAAB50D-A399-4A81-BA4C-68AFC4D69000}"/>
    <cellStyle name="40% - Accent4 2 3 6 3" xfId="10871" xr:uid="{23B34330-1BDC-438D-B6D7-280ADE55C8BD}"/>
    <cellStyle name="40% - Accent4 2 3 7" xfId="4581" xr:uid="{00000000-0005-0000-0000-0000DE050000}"/>
    <cellStyle name="40% - Accent4 2 3 7 2" xfId="13023" xr:uid="{EB960CAE-BBE8-4DE5-B95A-2F2AAEC51879}"/>
    <cellStyle name="40% - Accent4 2 3 8" xfId="8805" xr:uid="{6245D942-2C3B-42B6-A56D-235CD429048B}"/>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50FECF41-DA4C-4DC1-981E-BB204D59F160}"/>
    <cellStyle name="40% - Accent4 2 4 2 3" xfId="11361" xr:uid="{DE3A44DF-F966-4EF1-B0BE-1B6F9E071192}"/>
    <cellStyle name="40% - Accent4 2 4 3" xfId="4992" xr:uid="{00000000-0005-0000-0000-0000E2050000}"/>
    <cellStyle name="40% - Accent4 2 4 3 2" xfId="13434" xr:uid="{605E7F4F-42E1-43DE-A762-213D479E3E36}"/>
    <cellStyle name="40% - Accent4 2 4 4" xfId="9216" xr:uid="{6C12547E-7912-4C11-BEFA-1E3AB9A5FB43}"/>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B589575D-6DCB-40B1-804B-CC424C4483BC}"/>
    <cellStyle name="40% - Accent4 2 5 2 3" xfId="11774" xr:uid="{BE95E405-23C2-4756-9314-29F4223DEA50}"/>
    <cellStyle name="40% - Accent4 2 5 3" xfId="5405" xr:uid="{00000000-0005-0000-0000-0000E6050000}"/>
    <cellStyle name="40% - Accent4 2 5 3 2" xfId="13847" xr:uid="{8A2B924D-B25C-415B-A3E3-65A2F3DA33FC}"/>
    <cellStyle name="40% - Accent4 2 5 4" xfId="9629" xr:uid="{AB8FA989-90C0-4C55-A6AA-60DDC2238778}"/>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D816CA31-49E4-4C66-8AC9-769D236DE2B9}"/>
    <cellStyle name="40% - Accent4 2 6 2 3" xfId="12187" xr:uid="{4B62DEAF-D732-48D2-AF53-F905FEFA9EEA}"/>
    <cellStyle name="40% - Accent4 2 6 3" xfId="5818" xr:uid="{00000000-0005-0000-0000-0000EA050000}"/>
    <cellStyle name="40% - Accent4 2 6 3 2" xfId="14260" xr:uid="{2583A3C8-A1C5-4D56-81B2-8E69295C456D}"/>
    <cellStyle name="40% - Accent4 2 6 4" xfId="10042" xr:uid="{4D84530A-A095-4A4C-8922-A745FD35FE6D}"/>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77AF0AA7-D129-41FE-AA87-556182C8879E}"/>
    <cellStyle name="40% - Accent4 2 7 2 3" xfId="12600" xr:uid="{0452C8BB-C4B5-4F38-A847-5DF4B02014CC}"/>
    <cellStyle name="40% - Accent4 2 7 3" xfId="6231" xr:uid="{00000000-0005-0000-0000-0000EE050000}"/>
    <cellStyle name="40% - Accent4 2 7 3 2" xfId="14673" xr:uid="{A6A76789-15AC-4BF2-81AD-5D0CCDFE6ECF}"/>
    <cellStyle name="40% - Accent4 2 7 4" xfId="10455" xr:uid="{C0F3C68F-A47C-40D3-9EE7-A6F0D43445AD}"/>
    <cellStyle name="40% - Accent4 2 8" xfId="2337" xr:uid="{00000000-0005-0000-0000-0000EF050000}"/>
    <cellStyle name="40% - Accent4 2 8 2" xfId="6644" xr:uid="{00000000-0005-0000-0000-0000F0050000}"/>
    <cellStyle name="40% - Accent4 2 8 2 2" xfId="15086" xr:uid="{008C812A-74A0-470D-99C2-06BFB881B3D1}"/>
    <cellStyle name="40% - Accent4 2 8 3" xfId="10868" xr:uid="{667BF9A9-AC94-4F63-9795-38CA810E4DAF}"/>
    <cellStyle name="40% - Accent4 2 9" xfId="4578" xr:uid="{00000000-0005-0000-0000-0000F1050000}"/>
    <cellStyle name="40% - Accent4 2 9 2" xfId="13020" xr:uid="{82C9826A-C28A-4FF0-8F4D-B7D5384E6B2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4F070710-AA62-4889-85B5-0F74488FB0FB}"/>
    <cellStyle name="40% - Accent4 3 2 2 2 3" xfId="11366" xr:uid="{9CA07FF2-1027-435A-848F-C7FE419BFADC}"/>
    <cellStyle name="40% - Accent4 3 2 2 3" xfId="4997" xr:uid="{00000000-0005-0000-0000-0000F7050000}"/>
    <cellStyle name="40% - Accent4 3 2 2 3 2" xfId="13439" xr:uid="{D35DB2D2-762C-4551-A11C-99DAE4C54231}"/>
    <cellStyle name="40% - Accent4 3 2 2 4" xfId="9221" xr:uid="{7FEBD520-8AF5-4E2E-8902-306ED04B97D2}"/>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96B3F0B6-C9FD-495A-9A63-939CE2F894A9}"/>
    <cellStyle name="40% - Accent4 3 2 3 2 3" xfId="11779" xr:uid="{E47243AD-EFFA-4B14-8F65-909B30612A93}"/>
    <cellStyle name="40% - Accent4 3 2 3 3" xfId="5410" xr:uid="{00000000-0005-0000-0000-0000FB050000}"/>
    <cellStyle name="40% - Accent4 3 2 3 3 2" xfId="13852" xr:uid="{1EAFA991-2CEA-43B2-8E1B-9A9F4EDFC521}"/>
    <cellStyle name="40% - Accent4 3 2 3 4" xfId="9634" xr:uid="{8A5FF170-98A4-493A-AD09-35AF84A174D8}"/>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F284A6B9-1C62-4FE8-BEF8-510993CBD508}"/>
    <cellStyle name="40% - Accent4 3 2 4 2 3" xfId="12192" xr:uid="{61D56EA6-E57A-44E8-BD8D-5745B1058767}"/>
    <cellStyle name="40% - Accent4 3 2 4 3" xfId="5823" xr:uid="{00000000-0005-0000-0000-0000FF050000}"/>
    <cellStyle name="40% - Accent4 3 2 4 3 2" xfId="14265" xr:uid="{9D1CA977-E26F-4803-AA1C-704E79AF64A3}"/>
    <cellStyle name="40% - Accent4 3 2 4 4" xfId="10047" xr:uid="{B7C1FF65-F297-4DA2-980E-578EBC2817C1}"/>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090DDD05-098E-407E-A41D-C50664242690}"/>
    <cellStyle name="40% - Accent4 3 2 5 2 3" xfId="12605" xr:uid="{3AECD2EC-A3CA-49E1-A887-421A30FE2FB7}"/>
    <cellStyle name="40% - Accent4 3 2 5 3" xfId="6236" xr:uid="{00000000-0005-0000-0000-000003060000}"/>
    <cellStyle name="40% - Accent4 3 2 5 3 2" xfId="14678" xr:uid="{FC4A8B6A-C19D-4AC0-95BA-8ACBEFB28716}"/>
    <cellStyle name="40% - Accent4 3 2 5 4" xfId="10460" xr:uid="{1E3AAE1B-1105-43E1-A03D-9903DAC58110}"/>
    <cellStyle name="40% - Accent4 3 2 6" xfId="2342" xr:uid="{00000000-0005-0000-0000-000004060000}"/>
    <cellStyle name="40% - Accent4 3 2 6 2" xfId="6649" xr:uid="{00000000-0005-0000-0000-000005060000}"/>
    <cellStyle name="40% - Accent4 3 2 6 2 2" xfId="15091" xr:uid="{66A46D6B-6ADB-40A3-B4A3-3DF229C29585}"/>
    <cellStyle name="40% - Accent4 3 2 6 3" xfId="10873" xr:uid="{927C4CFF-719D-4205-8549-C0F67160B3D1}"/>
    <cellStyle name="40% - Accent4 3 2 7" xfId="4583" xr:uid="{00000000-0005-0000-0000-000006060000}"/>
    <cellStyle name="40% - Accent4 3 2 7 2" xfId="13025" xr:uid="{3D9E17B4-0F60-40E7-9654-80CEAA0E95EE}"/>
    <cellStyle name="40% - Accent4 3 2 8" xfId="8807" xr:uid="{97DA916C-4502-42A5-909A-F62FFCC09A03}"/>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E497A8C5-95D1-4AF3-9B6A-7F28C18BD2C4}"/>
    <cellStyle name="40% - Accent4 3 3 2 3" xfId="11365" xr:uid="{41668ED9-BD43-4E37-A78C-CAF3FDD8BEE5}"/>
    <cellStyle name="40% - Accent4 3 3 3" xfId="4996" xr:uid="{00000000-0005-0000-0000-00000A060000}"/>
    <cellStyle name="40% - Accent4 3 3 3 2" xfId="13438" xr:uid="{9FE136DB-8FD3-4D14-85DF-C88F9C859053}"/>
    <cellStyle name="40% - Accent4 3 3 4" xfId="9220" xr:uid="{00F6885F-87E9-4402-9B32-18CDFB14145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16A224BB-E400-4168-9938-7A8CABC57A8F}"/>
    <cellStyle name="40% - Accent4 3 4 2 3" xfId="11778" xr:uid="{E739FCE1-536D-42F8-AB98-BFA4390EFA48}"/>
    <cellStyle name="40% - Accent4 3 4 3" xfId="5409" xr:uid="{00000000-0005-0000-0000-00000E060000}"/>
    <cellStyle name="40% - Accent4 3 4 3 2" xfId="13851" xr:uid="{60B6F66A-E09C-49AB-97AE-13248360DBDC}"/>
    <cellStyle name="40% - Accent4 3 4 4" xfId="9633" xr:uid="{A6C2A9A3-DDB3-44CB-8344-704360DB3CD2}"/>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5AC11200-4907-4C62-824B-23810CD542B5}"/>
    <cellStyle name="40% - Accent4 3 5 2 3" xfId="12191" xr:uid="{F1F89FBA-7DA6-4BCE-99BB-4DC31EAEFCA8}"/>
    <cellStyle name="40% - Accent4 3 5 3" xfId="5822" xr:uid="{00000000-0005-0000-0000-000012060000}"/>
    <cellStyle name="40% - Accent4 3 5 3 2" xfId="14264" xr:uid="{DF0DB355-E99F-4698-9E91-75ADE5249BDC}"/>
    <cellStyle name="40% - Accent4 3 5 4" xfId="10046" xr:uid="{C17439CA-6A87-4C92-8335-004933A0F7DA}"/>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F864B218-930B-47F7-9EE7-84296C9E4C0A}"/>
    <cellStyle name="40% - Accent4 3 6 2 3" xfId="12604" xr:uid="{5A0CC2E8-9B41-4D4E-99F5-61BC58468294}"/>
    <cellStyle name="40% - Accent4 3 6 3" xfId="6235" xr:uid="{00000000-0005-0000-0000-000016060000}"/>
    <cellStyle name="40% - Accent4 3 6 3 2" xfId="14677" xr:uid="{CAE96634-D40C-422F-8CCB-2F1C0D5F6C5C}"/>
    <cellStyle name="40% - Accent4 3 6 4" xfId="10459" xr:uid="{DF1023E6-4344-4735-B3A7-2D0DF8948165}"/>
    <cellStyle name="40% - Accent4 3 7" xfId="2341" xr:uid="{00000000-0005-0000-0000-000017060000}"/>
    <cellStyle name="40% - Accent4 3 7 2" xfId="6648" xr:uid="{00000000-0005-0000-0000-000018060000}"/>
    <cellStyle name="40% - Accent4 3 7 2 2" xfId="15090" xr:uid="{FC6ECF43-2654-4066-BE31-262C281183BB}"/>
    <cellStyle name="40% - Accent4 3 7 3" xfId="10872" xr:uid="{105D87CF-F0D5-407A-B3AC-8F1A7F57DDB2}"/>
    <cellStyle name="40% - Accent4 3 8" xfId="4582" xr:uid="{00000000-0005-0000-0000-000019060000}"/>
    <cellStyle name="40% - Accent4 3 8 2" xfId="13024" xr:uid="{2A1D91B7-D0DD-401D-9216-7ACC6E2B4F99}"/>
    <cellStyle name="40% - Accent4 3 9" xfId="8806" xr:uid="{3D4B394F-ECF3-47A2-8EA5-ADAFC86D39DC}"/>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DDC1B647-A362-414B-AC11-5973AD696453}"/>
    <cellStyle name="40% - Accent4 4 2 2 3" xfId="11367" xr:uid="{C2425A9D-6497-4AED-BAAE-D658439DF3B4}"/>
    <cellStyle name="40% - Accent4 4 2 3" xfId="4998" xr:uid="{00000000-0005-0000-0000-00001E060000}"/>
    <cellStyle name="40% - Accent4 4 2 3 2" xfId="13440" xr:uid="{B546F1CC-1B96-48D7-A244-CA009D5D8BA8}"/>
    <cellStyle name="40% - Accent4 4 2 4" xfId="9222" xr:uid="{6F1D9E17-52FF-44E7-A4B7-62139594A8C2}"/>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F1EB38A3-8C57-4BC4-876C-69171AB3C9D5}"/>
    <cellStyle name="40% - Accent4 4 3 2 3" xfId="11780" xr:uid="{20C4B482-633E-4A51-BB6B-01A7B6020B9A}"/>
    <cellStyle name="40% - Accent4 4 3 3" xfId="5411" xr:uid="{00000000-0005-0000-0000-000022060000}"/>
    <cellStyle name="40% - Accent4 4 3 3 2" xfId="13853" xr:uid="{155138B3-D430-430D-96E7-7266D9956E0C}"/>
    <cellStyle name="40% - Accent4 4 3 4" xfId="9635" xr:uid="{D619DD7F-CCEB-427A-ABC8-394406303F9B}"/>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B57B4753-C75A-4174-BE68-27D10F6499B6}"/>
    <cellStyle name="40% - Accent4 4 4 2 3" xfId="12193" xr:uid="{DB982C65-421A-49A2-A3D5-FDCE0E54DCBC}"/>
    <cellStyle name="40% - Accent4 4 4 3" xfId="5824" xr:uid="{00000000-0005-0000-0000-000026060000}"/>
    <cellStyle name="40% - Accent4 4 4 3 2" xfId="14266" xr:uid="{259BA081-A554-4AD2-B09D-35166DC42EDC}"/>
    <cellStyle name="40% - Accent4 4 4 4" xfId="10048" xr:uid="{FC322A33-7D05-468A-B05C-909012904157}"/>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53440E71-DB60-441B-BA36-2A592617263F}"/>
    <cellStyle name="40% - Accent4 4 5 2 3" xfId="12606" xr:uid="{3CE16018-EC65-4F2E-A64A-DDD148E3073C}"/>
    <cellStyle name="40% - Accent4 4 5 3" xfId="6237" xr:uid="{00000000-0005-0000-0000-00002A060000}"/>
    <cellStyle name="40% - Accent4 4 5 3 2" xfId="14679" xr:uid="{37CC7FBD-D18F-49D9-AB8A-14B19E4EE74F}"/>
    <cellStyle name="40% - Accent4 4 5 4" xfId="10461" xr:uid="{5D380C44-C242-4F7D-B525-60A5DC0E7249}"/>
    <cellStyle name="40% - Accent4 4 6" xfId="2343" xr:uid="{00000000-0005-0000-0000-00002B060000}"/>
    <cellStyle name="40% - Accent4 4 6 2" xfId="6650" xr:uid="{00000000-0005-0000-0000-00002C060000}"/>
    <cellStyle name="40% - Accent4 4 6 2 2" xfId="15092" xr:uid="{6BD86734-64D3-4AE4-97EF-8A8E6CE04EC6}"/>
    <cellStyle name="40% - Accent4 4 6 3" xfId="10874" xr:uid="{35E70F3C-61AB-4B92-A94D-F3BA4F1E9212}"/>
    <cellStyle name="40% - Accent4 4 7" xfId="4584" xr:uid="{00000000-0005-0000-0000-00002D060000}"/>
    <cellStyle name="40% - Accent4 4 7 2" xfId="13026" xr:uid="{99E5743A-684F-42F7-BAC6-26A5D51D2E24}"/>
    <cellStyle name="40% - Accent4 4 8" xfId="8808" xr:uid="{EE078C34-D69A-44FB-B3D6-86BB6569C9CE}"/>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CAE01F3F-AE0A-43FB-8785-89EE2173A056}"/>
    <cellStyle name="40% - Accent4 5 2 3" xfId="11360" xr:uid="{6C3B3DF2-48E9-47E9-9F17-679E91F3FA22}"/>
    <cellStyle name="40% - Accent4 5 3" xfId="4991" xr:uid="{00000000-0005-0000-0000-000031060000}"/>
    <cellStyle name="40% - Accent4 5 3 2" xfId="13433" xr:uid="{A1BA2EF8-06E0-4626-A761-05D7847E717E}"/>
    <cellStyle name="40% - Accent4 5 4" xfId="9215" xr:uid="{78DECA08-F9C4-408C-89D7-3804F3582D2A}"/>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FF15718C-4058-4D85-A35F-B63D1015439F}"/>
    <cellStyle name="40% - Accent4 6 2 3" xfId="11773" xr:uid="{8D84009E-AE14-4569-A293-6AA4FA1248D2}"/>
    <cellStyle name="40% - Accent4 6 3" xfId="5404" xr:uid="{00000000-0005-0000-0000-000035060000}"/>
    <cellStyle name="40% - Accent4 6 3 2" xfId="13846" xr:uid="{7530D35F-24BB-4CB5-908B-885F1528E8D1}"/>
    <cellStyle name="40% - Accent4 6 4" xfId="9628" xr:uid="{553A405E-B407-4819-860B-06625B2C2D29}"/>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A665B6B1-99D7-41CB-A1CE-1274883E3584}"/>
    <cellStyle name="40% - Accent4 7 2 3" xfId="12186" xr:uid="{9C23E650-0B50-4E78-A904-619EF10AC9FB}"/>
    <cellStyle name="40% - Accent4 7 3" xfId="5817" xr:uid="{00000000-0005-0000-0000-000039060000}"/>
    <cellStyle name="40% - Accent4 7 3 2" xfId="14259" xr:uid="{2F00BB62-EFC0-46D8-8A59-24FA2FF87E71}"/>
    <cellStyle name="40% - Accent4 7 4" xfId="10041" xr:uid="{14725ECB-A114-4F8B-997D-A14424632CC4}"/>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E965A231-184B-4F2E-9449-EFD49395E1B0}"/>
    <cellStyle name="40% - Accent4 8 2 3" xfId="12599" xr:uid="{B365F841-988C-4022-A8AC-9A0CDFE4BCAA}"/>
    <cellStyle name="40% - Accent4 8 3" xfId="6230" xr:uid="{00000000-0005-0000-0000-00003D060000}"/>
    <cellStyle name="40% - Accent4 8 3 2" xfId="14672" xr:uid="{CCCC46F8-BDF2-4330-883D-0E013C148F4B}"/>
    <cellStyle name="40% - Accent4 8 4" xfId="10454" xr:uid="{ED7CCE83-A9F7-4BFA-B8F8-16AA7FEE1FA4}"/>
    <cellStyle name="40% - Accent4 9" xfId="2336" xr:uid="{00000000-0005-0000-0000-00003E060000}"/>
    <cellStyle name="40% - Accent4 9 2" xfId="6643" xr:uid="{00000000-0005-0000-0000-00003F060000}"/>
    <cellStyle name="40% - Accent4 9 2 2" xfId="15085" xr:uid="{15A75562-6EFF-4771-A2B0-F30D948AD6B8}"/>
    <cellStyle name="40% - Accent4 9 3" xfId="10867" xr:uid="{AE1170B3-CCCB-4B09-A889-0D9EFA084B43}"/>
    <cellStyle name="40% - Accent5" xfId="81" builtinId="47" customBuiltin="1"/>
    <cellStyle name="40% - Accent5 10" xfId="4585" xr:uid="{00000000-0005-0000-0000-000041060000}"/>
    <cellStyle name="40% - Accent5 10 2" xfId="13027" xr:uid="{78506FE2-3139-4AAE-BFAF-DC3EA0D22805}"/>
    <cellStyle name="40% - Accent5 11" xfId="8809" xr:uid="{43C43DD3-8DF5-4F6A-8083-A164DBE673DD}"/>
    <cellStyle name="40% - Accent5 2" xfId="82" xr:uid="{00000000-0005-0000-0000-000042060000}"/>
    <cellStyle name="40% - Accent5 2 10" xfId="8810" xr:uid="{5EB93029-FFB1-4EB4-8B8D-E7F97A6F2F09}"/>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90144AE0-947F-4A3C-A14C-96E7AAA5979A}"/>
    <cellStyle name="40% - Accent5 2 2 2 2 2 3" xfId="11371" xr:uid="{A44A65B6-5C96-49DD-9465-D82E916E6404}"/>
    <cellStyle name="40% - Accent5 2 2 2 2 3" xfId="5002" xr:uid="{00000000-0005-0000-0000-000048060000}"/>
    <cellStyle name="40% - Accent5 2 2 2 2 3 2" xfId="13444" xr:uid="{4A6E5F2D-301E-411E-A643-CD10BA4A16D3}"/>
    <cellStyle name="40% - Accent5 2 2 2 2 4" xfId="9226" xr:uid="{4708D71B-E998-4A62-9B8A-50F43080592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767D2AFE-CDA9-4620-8B1A-344D37D4E40D}"/>
    <cellStyle name="40% - Accent5 2 2 2 3 2 3" xfId="11784" xr:uid="{866409F5-E32D-4C0F-A0C3-0C0A0A26927C}"/>
    <cellStyle name="40% - Accent5 2 2 2 3 3" xfId="5415" xr:uid="{00000000-0005-0000-0000-00004C060000}"/>
    <cellStyle name="40% - Accent5 2 2 2 3 3 2" xfId="13857" xr:uid="{D8184D15-AC3C-4BCB-9316-BE82DBCEA162}"/>
    <cellStyle name="40% - Accent5 2 2 2 3 4" xfId="9639" xr:uid="{6AB873A4-F116-4F0C-B651-79C6783C269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543294AA-11F4-439F-8DBE-647663C71FB7}"/>
    <cellStyle name="40% - Accent5 2 2 2 4 2 3" xfId="12197" xr:uid="{CDA13309-417F-4FE8-BB3A-AC2B677D5040}"/>
    <cellStyle name="40% - Accent5 2 2 2 4 3" xfId="5828" xr:uid="{00000000-0005-0000-0000-000050060000}"/>
    <cellStyle name="40% - Accent5 2 2 2 4 3 2" xfId="14270" xr:uid="{4CB5E1E3-1FE2-4B98-9F9A-DE73518950C3}"/>
    <cellStyle name="40% - Accent5 2 2 2 4 4" xfId="10052" xr:uid="{EE75F1EC-C5C6-4B37-95B2-271820626353}"/>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5C481742-B418-4A0B-B845-68B1B3EB1237}"/>
    <cellStyle name="40% - Accent5 2 2 2 5 2 3" xfId="12610" xr:uid="{F0A3B1EE-B41F-416D-9258-EA20B41FF4E4}"/>
    <cellStyle name="40% - Accent5 2 2 2 5 3" xfId="6241" xr:uid="{00000000-0005-0000-0000-000054060000}"/>
    <cellStyle name="40% - Accent5 2 2 2 5 3 2" xfId="14683" xr:uid="{2ED0A427-A97E-485E-B4CD-710A4742B660}"/>
    <cellStyle name="40% - Accent5 2 2 2 5 4" xfId="10465" xr:uid="{671E01E5-41E3-43CB-AB73-00A277660D0E}"/>
    <cellStyle name="40% - Accent5 2 2 2 6" xfId="2347" xr:uid="{00000000-0005-0000-0000-000055060000}"/>
    <cellStyle name="40% - Accent5 2 2 2 6 2" xfId="6654" xr:uid="{00000000-0005-0000-0000-000056060000}"/>
    <cellStyle name="40% - Accent5 2 2 2 6 2 2" xfId="15096" xr:uid="{12AD70AE-C2AB-422C-9F40-F289EACAFD2D}"/>
    <cellStyle name="40% - Accent5 2 2 2 6 3" xfId="10878" xr:uid="{5B574ED8-8BDB-4619-BBA7-F6B95781D5A7}"/>
    <cellStyle name="40% - Accent5 2 2 2 7" xfId="4588" xr:uid="{00000000-0005-0000-0000-000057060000}"/>
    <cellStyle name="40% - Accent5 2 2 2 7 2" xfId="13030" xr:uid="{440D6CE0-3262-416C-B311-BB0E80E832B3}"/>
    <cellStyle name="40% - Accent5 2 2 2 8" xfId="8812" xr:uid="{0B797BBF-FA3E-4A20-949B-C69957318551}"/>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7C5D47B1-B021-43D0-80FF-BB04F54E144F}"/>
    <cellStyle name="40% - Accent5 2 2 3 2 3" xfId="11370" xr:uid="{E459C8B1-F378-415B-82F0-D8D8625E5B90}"/>
    <cellStyle name="40% - Accent5 2 2 3 3" xfId="5001" xr:uid="{00000000-0005-0000-0000-00005B060000}"/>
    <cellStyle name="40% - Accent5 2 2 3 3 2" xfId="13443" xr:uid="{FC033400-FB35-4BC7-A03D-76958D903FC7}"/>
    <cellStyle name="40% - Accent5 2 2 3 4" xfId="9225" xr:uid="{4CF364EB-B974-4F5B-8F19-226E02887A2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3A376406-5D3D-4F09-A8D9-BA01196F661B}"/>
    <cellStyle name="40% - Accent5 2 2 4 2 3" xfId="11783" xr:uid="{EA171C6C-E34F-4451-ABCC-BF1A8CF43FB1}"/>
    <cellStyle name="40% - Accent5 2 2 4 3" xfId="5414" xr:uid="{00000000-0005-0000-0000-00005F060000}"/>
    <cellStyle name="40% - Accent5 2 2 4 3 2" xfId="13856" xr:uid="{43FFC376-D84E-4395-9D36-521BC8FDDC2E}"/>
    <cellStyle name="40% - Accent5 2 2 4 4" xfId="9638" xr:uid="{66057178-69E8-4AB2-B749-8DFF199A8445}"/>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57F1C012-4EA6-48BD-9733-0C4FCC4FFFEF}"/>
    <cellStyle name="40% - Accent5 2 2 5 2 3" xfId="12196" xr:uid="{BE2B1625-1269-409F-9500-CA2F00DB605D}"/>
    <cellStyle name="40% - Accent5 2 2 5 3" xfId="5827" xr:uid="{00000000-0005-0000-0000-000063060000}"/>
    <cellStyle name="40% - Accent5 2 2 5 3 2" xfId="14269" xr:uid="{A77BBDD4-079B-48A5-83CC-F38A91D2371E}"/>
    <cellStyle name="40% - Accent5 2 2 5 4" xfId="10051" xr:uid="{77879944-8B0E-448E-9257-014C807F02F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0E2A2B79-C4B3-4EB0-9E13-B487AE8C2C9B}"/>
    <cellStyle name="40% - Accent5 2 2 6 2 3" xfId="12609" xr:uid="{4CCA1179-DFD2-4315-9DBC-74774F66345B}"/>
    <cellStyle name="40% - Accent5 2 2 6 3" xfId="6240" xr:uid="{00000000-0005-0000-0000-000067060000}"/>
    <cellStyle name="40% - Accent5 2 2 6 3 2" xfId="14682" xr:uid="{A75B822F-3AF5-4B61-AF7C-F6E526065738}"/>
    <cellStyle name="40% - Accent5 2 2 6 4" xfId="10464" xr:uid="{C48C7BD5-BB09-4DBE-8613-672D09170414}"/>
    <cellStyle name="40% - Accent5 2 2 7" xfId="2346" xr:uid="{00000000-0005-0000-0000-000068060000}"/>
    <cellStyle name="40% - Accent5 2 2 7 2" xfId="6653" xr:uid="{00000000-0005-0000-0000-000069060000}"/>
    <cellStyle name="40% - Accent5 2 2 7 2 2" xfId="15095" xr:uid="{D792F226-3B7A-4A9C-9B55-C1194052F0EF}"/>
    <cellStyle name="40% - Accent5 2 2 7 3" xfId="10877" xr:uid="{82F1EAB2-17EE-40D6-BE54-E14C5937BD84}"/>
    <cellStyle name="40% - Accent5 2 2 8" xfId="4587" xr:uid="{00000000-0005-0000-0000-00006A060000}"/>
    <cellStyle name="40% - Accent5 2 2 8 2" xfId="13029" xr:uid="{3593220A-1311-44D0-B54E-36EE70A51F39}"/>
    <cellStyle name="40% - Accent5 2 2 9" xfId="8811" xr:uid="{21DB99A5-D76A-4621-AF2B-FC5C40EE94FB}"/>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70131379-C8F1-4FEA-8A82-204914E90AC8}"/>
    <cellStyle name="40% - Accent5 2 3 2 2 3" xfId="11372" xr:uid="{62AAACDD-6C7A-491B-B3BB-44758327C70B}"/>
    <cellStyle name="40% - Accent5 2 3 2 3" xfId="5003" xr:uid="{00000000-0005-0000-0000-00006F060000}"/>
    <cellStyle name="40% - Accent5 2 3 2 3 2" xfId="13445" xr:uid="{7C13272C-1E5B-4BD9-8B42-9F0FADC3E7AA}"/>
    <cellStyle name="40% - Accent5 2 3 2 4" xfId="9227" xr:uid="{085F3C6D-0E9D-467B-91C1-2C064B714693}"/>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EB258862-5B38-442B-B159-A5DD236DE4FC}"/>
    <cellStyle name="40% - Accent5 2 3 3 2 3" xfId="11785" xr:uid="{6E42CD61-C0A8-442F-A531-1773063210CC}"/>
    <cellStyle name="40% - Accent5 2 3 3 3" xfId="5416" xr:uid="{00000000-0005-0000-0000-000073060000}"/>
    <cellStyle name="40% - Accent5 2 3 3 3 2" xfId="13858" xr:uid="{16B421D6-DBB0-47BE-A77E-A70950794CB6}"/>
    <cellStyle name="40% - Accent5 2 3 3 4" xfId="9640" xr:uid="{9153812D-749F-4654-B53B-6BA6F4801886}"/>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8868B156-F0A0-4F22-9430-F3B5FD5F5D5E}"/>
    <cellStyle name="40% - Accent5 2 3 4 2 3" xfId="12198" xr:uid="{5491E7A2-ED8A-4506-A525-A456319E5C94}"/>
    <cellStyle name="40% - Accent5 2 3 4 3" xfId="5829" xr:uid="{00000000-0005-0000-0000-000077060000}"/>
    <cellStyle name="40% - Accent5 2 3 4 3 2" xfId="14271" xr:uid="{BDAF6A73-6D23-425A-A346-EA5FE66AF04C}"/>
    <cellStyle name="40% - Accent5 2 3 4 4" xfId="10053" xr:uid="{DBB251A0-023C-4254-88ED-DCD60CF8F50B}"/>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D8057DD2-EFCA-48B7-AAE3-78D9A82C8AD8}"/>
    <cellStyle name="40% - Accent5 2 3 5 2 3" xfId="12611" xr:uid="{19616358-A6B6-41A0-84BF-A89A58A68BDA}"/>
    <cellStyle name="40% - Accent5 2 3 5 3" xfId="6242" xr:uid="{00000000-0005-0000-0000-00007B060000}"/>
    <cellStyle name="40% - Accent5 2 3 5 3 2" xfId="14684" xr:uid="{D4A78C36-E91C-43B8-8E41-923943E5BECF}"/>
    <cellStyle name="40% - Accent5 2 3 5 4" xfId="10466" xr:uid="{6E98466F-8195-441B-B71D-8F864B26C0C7}"/>
    <cellStyle name="40% - Accent5 2 3 6" xfId="2348" xr:uid="{00000000-0005-0000-0000-00007C060000}"/>
    <cellStyle name="40% - Accent5 2 3 6 2" xfId="6655" xr:uid="{00000000-0005-0000-0000-00007D060000}"/>
    <cellStyle name="40% - Accent5 2 3 6 2 2" xfId="15097" xr:uid="{3EE8ADE8-DA32-4FEE-BE8F-D01385F10F97}"/>
    <cellStyle name="40% - Accent5 2 3 6 3" xfId="10879" xr:uid="{BC019872-716D-4A44-B1C5-04B1AF935B6D}"/>
    <cellStyle name="40% - Accent5 2 3 7" xfId="4589" xr:uid="{00000000-0005-0000-0000-00007E060000}"/>
    <cellStyle name="40% - Accent5 2 3 7 2" xfId="13031" xr:uid="{3EAF1DB7-7A77-4728-AE28-F2FCC1AD081C}"/>
    <cellStyle name="40% - Accent5 2 3 8" xfId="8813" xr:uid="{DAAEF20C-3CD3-44C7-9363-F423EF5B924D}"/>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BE89DBB7-B589-4A80-9A17-EC795745707A}"/>
    <cellStyle name="40% - Accent5 2 4 2 3" xfId="11369" xr:uid="{35238573-876E-4F19-9DAE-202852B6C240}"/>
    <cellStyle name="40% - Accent5 2 4 3" xfId="5000" xr:uid="{00000000-0005-0000-0000-000082060000}"/>
    <cellStyle name="40% - Accent5 2 4 3 2" xfId="13442" xr:uid="{49C25C9F-3482-45E0-BB05-AE4895814DA9}"/>
    <cellStyle name="40% - Accent5 2 4 4" xfId="9224" xr:uid="{31060112-3C84-40A4-80DB-ECBA0EF2F70F}"/>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FA580DA8-8235-4466-97F9-A7AF708C111B}"/>
    <cellStyle name="40% - Accent5 2 5 2 3" xfId="11782" xr:uid="{40A4EA81-02CA-4803-9F34-763F0D23CA43}"/>
    <cellStyle name="40% - Accent5 2 5 3" xfId="5413" xr:uid="{00000000-0005-0000-0000-000086060000}"/>
    <cellStyle name="40% - Accent5 2 5 3 2" xfId="13855" xr:uid="{75433460-0C56-4900-84E8-4E2C7E16CF6C}"/>
    <cellStyle name="40% - Accent5 2 5 4" xfId="9637" xr:uid="{2C238840-6FA3-4A35-B45D-5B80B5C13959}"/>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3A6731C3-4C1B-40A5-987B-5E54E5AFEC9B}"/>
    <cellStyle name="40% - Accent5 2 6 2 3" xfId="12195" xr:uid="{DA7D6A90-C509-498E-AFB7-ECC49AB9C25A}"/>
    <cellStyle name="40% - Accent5 2 6 3" xfId="5826" xr:uid="{00000000-0005-0000-0000-00008A060000}"/>
    <cellStyle name="40% - Accent5 2 6 3 2" xfId="14268" xr:uid="{A8E50312-1E95-4A88-AE81-65B1EFBF80CA}"/>
    <cellStyle name="40% - Accent5 2 6 4" xfId="10050" xr:uid="{6FC93BEF-98F0-47F1-8260-FA2D832FAC64}"/>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AE38EFDE-BC9F-4DF2-9463-ED2C92E1D65C}"/>
    <cellStyle name="40% - Accent5 2 7 2 3" xfId="12608" xr:uid="{C04E0FE5-D63F-4ABF-AED8-7477B889F24D}"/>
    <cellStyle name="40% - Accent5 2 7 3" xfId="6239" xr:uid="{00000000-0005-0000-0000-00008E060000}"/>
    <cellStyle name="40% - Accent5 2 7 3 2" xfId="14681" xr:uid="{4AFF3E7E-86C0-4830-9699-962D27CD6E69}"/>
    <cellStyle name="40% - Accent5 2 7 4" xfId="10463" xr:uid="{778CFDD3-2B41-428B-BA86-5DC788AD4B2B}"/>
    <cellStyle name="40% - Accent5 2 8" xfId="2345" xr:uid="{00000000-0005-0000-0000-00008F060000}"/>
    <cellStyle name="40% - Accent5 2 8 2" xfId="6652" xr:uid="{00000000-0005-0000-0000-000090060000}"/>
    <cellStyle name="40% - Accent5 2 8 2 2" xfId="15094" xr:uid="{9EEF287A-E4E6-45C9-B5CA-9FC318E02586}"/>
    <cellStyle name="40% - Accent5 2 8 3" xfId="10876" xr:uid="{D3A6C5A7-0E99-403D-8249-5EA9E82064FA}"/>
    <cellStyle name="40% - Accent5 2 9" xfId="4586" xr:uid="{00000000-0005-0000-0000-000091060000}"/>
    <cellStyle name="40% - Accent5 2 9 2" xfId="13028" xr:uid="{2C47557D-38FB-4937-BD59-34857F940335}"/>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71F1FEC4-F0D7-4543-963E-AE5BD535BAEE}"/>
    <cellStyle name="40% - Accent5 3 2 2 2 3" xfId="11374" xr:uid="{B4E4FDD1-70C9-4928-9071-F9444314FD94}"/>
    <cellStyle name="40% - Accent5 3 2 2 3" xfId="5005" xr:uid="{00000000-0005-0000-0000-000097060000}"/>
    <cellStyle name="40% - Accent5 3 2 2 3 2" xfId="13447" xr:uid="{8C92A6B0-C94F-427B-BAD3-478369D7BB81}"/>
    <cellStyle name="40% - Accent5 3 2 2 4" xfId="9229" xr:uid="{33DFA8C3-9A92-4E4E-BDD4-7F2E468A29FD}"/>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35316DFF-2D9D-429F-9824-8C39D09BAFE5}"/>
    <cellStyle name="40% - Accent5 3 2 3 2 3" xfId="11787" xr:uid="{5D5FBB9E-0E52-4B31-B479-63E1E964B878}"/>
    <cellStyle name="40% - Accent5 3 2 3 3" xfId="5418" xr:uid="{00000000-0005-0000-0000-00009B060000}"/>
    <cellStyle name="40% - Accent5 3 2 3 3 2" xfId="13860" xr:uid="{B34ACA54-91B1-47AB-A244-DCABAAC7C420}"/>
    <cellStyle name="40% - Accent5 3 2 3 4" xfId="9642" xr:uid="{459498E1-60CC-440E-A178-02272F55B152}"/>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D5BF3CCF-73AA-4AA9-B92C-101653FB5AF6}"/>
    <cellStyle name="40% - Accent5 3 2 4 2 3" xfId="12200" xr:uid="{AB04A00E-699E-45AA-86A1-B51120AC0285}"/>
    <cellStyle name="40% - Accent5 3 2 4 3" xfId="5831" xr:uid="{00000000-0005-0000-0000-00009F060000}"/>
    <cellStyle name="40% - Accent5 3 2 4 3 2" xfId="14273" xr:uid="{3EECBC85-0A88-4172-A103-92087936B7F0}"/>
    <cellStyle name="40% - Accent5 3 2 4 4" xfId="10055" xr:uid="{B2490651-02CE-46A6-AEB1-5C1C7F9BD629}"/>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DD39A832-C4BA-48FE-8022-370C17C1215D}"/>
    <cellStyle name="40% - Accent5 3 2 5 2 3" xfId="12613" xr:uid="{AAEE4355-7E20-4D65-8B00-57A7A75C185A}"/>
    <cellStyle name="40% - Accent5 3 2 5 3" xfId="6244" xr:uid="{00000000-0005-0000-0000-0000A3060000}"/>
    <cellStyle name="40% - Accent5 3 2 5 3 2" xfId="14686" xr:uid="{0DE39C8E-62C4-4099-A479-262ACF5ECB97}"/>
    <cellStyle name="40% - Accent5 3 2 5 4" xfId="10468" xr:uid="{F2ADC2D4-3360-4A55-828C-B5539D771C7E}"/>
    <cellStyle name="40% - Accent5 3 2 6" xfId="2350" xr:uid="{00000000-0005-0000-0000-0000A4060000}"/>
    <cellStyle name="40% - Accent5 3 2 6 2" xfId="6657" xr:uid="{00000000-0005-0000-0000-0000A5060000}"/>
    <cellStyle name="40% - Accent5 3 2 6 2 2" xfId="15099" xr:uid="{ECD585E3-8D44-4FCF-952B-323E1966586E}"/>
    <cellStyle name="40% - Accent5 3 2 6 3" xfId="10881" xr:uid="{EA3EB4E8-104F-4303-AC5D-A8FFBABC66FE}"/>
    <cellStyle name="40% - Accent5 3 2 7" xfId="4591" xr:uid="{00000000-0005-0000-0000-0000A6060000}"/>
    <cellStyle name="40% - Accent5 3 2 7 2" xfId="13033" xr:uid="{F3CF9F77-0929-4D06-AE4D-745E3DA8A512}"/>
    <cellStyle name="40% - Accent5 3 2 8" xfId="8815" xr:uid="{90CC6F3D-6E98-46E1-8C90-0352CD645291}"/>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4D3AC86A-E59B-458C-A649-57F98CC98BEF}"/>
    <cellStyle name="40% - Accent5 3 3 2 3" xfId="11373" xr:uid="{D0830968-B04C-4ED9-B90E-92A8E9EBA65F}"/>
    <cellStyle name="40% - Accent5 3 3 3" xfId="5004" xr:uid="{00000000-0005-0000-0000-0000AA060000}"/>
    <cellStyle name="40% - Accent5 3 3 3 2" xfId="13446" xr:uid="{D4174825-BAA4-4E13-9719-56D38863311B}"/>
    <cellStyle name="40% - Accent5 3 3 4" xfId="9228" xr:uid="{9BC888D7-A66A-4129-9536-8D9077E44D83}"/>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4E8F20DC-74C4-4908-9DCE-5CF6A2E1A8E9}"/>
    <cellStyle name="40% - Accent5 3 4 2 3" xfId="11786" xr:uid="{45816750-6E43-4624-9AE6-8EA281AA5AC2}"/>
    <cellStyle name="40% - Accent5 3 4 3" xfId="5417" xr:uid="{00000000-0005-0000-0000-0000AE060000}"/>
    <cellStyle name="40% - Accent5 3 4 3 2" xfId="13859" xr:uid="{0501B6A9-20A3-43AA-8E25-8BC9164B6800}"/>
    <cellStyle name="40% - Accent5 3 4 4" xfId="9641" xr:uid="{2C771BAC-287B-4E63-B7A2-3F88E4DFB8DE}"/>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0ED7437E-D497-4713-98E8-D34528151DAE}"/>
    <cellStyle name="40% - Accent5 3 5 2 3" xfId="12199" xr:uid="{D5349DDF-8975-401B-9574-12656E693FE0}"/>
    <cellStyle name="40% - Accent5 3 5 3" xfId="5830" xr:uid="{00000000-0005-0000-0000-0000B2060000}"/>
    <cellStyle name="40% - Accent5 3 5 3 2" xfId="14272" xr:uid="{AEFAFE83-8234-4AB7-9F84-62F5C067435D}"/>
    <cellStyle name="40% - Accent5 3 5 4" xfId="10054" xr:uid="{7D2D9A2C-4DF5-490B-8263-35B17A063D17}"/>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12181778-F3D9-4015-90D7-BEAA58121B78}"/>
    <cellStyle name="40% - Accent5 3 6 2 3" xfId="12612" xr:uid="{F79B7040-D1FF-4258-9E65-77028D66B4E7}"/>
    <cellStyle name="40% - Accent5 3 6 3" xfId="6243" xr:uid="{00000000-0005-0000-0000-0000B6060000}"/>
    <cellStyle name="40% - Accent5 3 6 3 2" xfId="14685" xr:uid="{90B6EAA0-96E6-4362-A114-304D6BF75660}"/>
    <cellStyle name="40% - Accent5 3 6 4" xfId="10467" xr:uid="{8B209030-5899-40E1-876E-36F74A1DE93E}"/>
    <cellStyle name="40% - Accent5 3 7" xfId="2349" xr:uid="{00000000-0005-0000-0000-0000B7060000}"/>
    <cellStyle name="40% - Accent5 3 7 2" xfId="6656" xr:uid="{00000000-0005-0000-0000-0000B8060000}"/>
    <cellStyle name="40% - Accent5 3 7 2 2" xfId="15098" xr:uid="{A8278E97-9456-4ED2-B6DA-C23C4114A20D}"/>
    <cellStyle name="40% - Accent5 3 7 3" xfId="10880" xr:uid="{83011C2E-646D-4549-A207-D78296FD5FFB}"/>
    <cellStyle name="40% - Accent5 3 8" xfId="4590" xr:uid="{00000000-0005-0000-0000-0000B9060000}"/>
    <cellStyle name="40% - Accent5 3 8 2" xfId="13032" xr:uid="{94B03037-B199-403A-B92C-4D3FC5688DF4}"/>
    <cellStyle name="40% - Accent5 3 9" xfId="8814" xr:uid="{26503CDA-ECFB-4C07-BC79-8812923422CF}"/>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EB6CB1E5-28E6-4E1B-B26E-73E0FC48B47C}"/>
    <cellStyle name="40% - Accent5 4 2 2 3" xfId="11375" xr:uid="{4DABC2B6-0E95-430A-9108-9F9269626954}"/>
    <cellStyle name="40% - Accent5 4 2 3" xfId="5006" xr:uid="{00000000-0005-0000-0000-0000BE060000}"/>
    <cellStyle name="40% - Accent5 4 2 3 2" xfId="13448" xr:uid="{8967A452-EBD7-4431-A9BA-1F2CC8E507EA}"/>
    <cellStyle name="40% - Accent5 4 2 4" xfId="9230" xr:uid="{02B0E430-719B-47C5-BD6B-23E880DFBF6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F3049BF0-A08C-460D-AECD-5AEE17818EDA}"/>
    <cellStyle name="40% - Accent5 4 3 2 3" xfId="11788" xr:uid="{D2558209-9854-4C23-804E-55C68726A837}"/>
    <cellStyle name="40% - Accent5 4 3 3" xfId="5419" xr:uid="{00000000-0005-0000-0000-0000C2060000}"/>
    <cellStyle name="40% - Accent5 4 3 3 2" xfId="13861" xr:uid="{89893328-5FEF-4C02-9156-BBE20CDD7F11}"/>
    <cellStyle name="40% - Accent5 4 3 4" xfId="9643" xr:uid="{6FC2E36F-65B4-455C-A3A8-1B84B624730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2CF5E719-AC5C-4BE2-BD30-862C8AF1387D}"/>
    <cellStyle name="40% - Accent5 4 4 2 3" xfId="12201" xr:uid="{741BDCE4-C78E-4226-A782-158F40920995}"/>
    <cellStyle name="40% - Accent5 4 4 3" xfId="5832" xr:uid="{00000000-0005-0000-0000-0000C6060000}"/>
    <cellStyle name="40% - Accent5 4 4 3 2" xfId="14274" xr:uid="{6009FA47-82BB-4F4A-AC0E-36CD48D3930B}"/>
    <cellStyle name="40% - Accent5 4 4 4" xfId="10056" xr:uid="{06C8BF26-4ACB-469A-A062-DB2447414D7F}"/>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ED5ECC43-F8ED-4D4F-8A32-8141542BE43C}"/>
    <cellStyle name="40% - Accent5 4 5 2 3" xfId="12614" xr:uid="{0563C0C7-196A-4183-B81D-622FFD8427BE}"/>
    <cellStyle name="40% - Accent5 4 5 3" xfId="6245" xr:uid="{00000000-0005-0000-0000-0000CA060000}"/>
    <cellStyle name="40% - Accent5 4 5 3 2" xfId="14687" xr:uid="{DE1BD55C-120D-4ED4-A928-194AB50DC0F5}"/>
    <cellStyle name="40% - Accent5 4 5 4" xfId="10469" xr:uid="{BE6D8640-D60E-4B0C-9821-E1E36D86D9EB}"/>
    <cellStyle name="40% - Accent5 4 6" xfId="2351" xr:uid="{00000000-0005-0000-0000-0000CB060000}"/>
    <cellStyle name="40% - Accent5 4 6 2" xfId="6658" xr:uid="{00000000-0005-0000-0000-0000CC060000}"/>
    <cellStyle name="40% - Accent5 4 6 2 2" xfId="15100" xr:uid="{8825D246-BA37-4E57-B3EE-19059F745726}"/>
    <cellStyle name="40% - Accent5 4 6 3" xfId="10882" xr:uid="{F3937128-0CDA-4520-9E22-83B9D6C03169}"/>
    <cellStyle name="40% - Accent5 4 7" xfId="4592" xr:uid="{00000000-0005-0000-0000-0000CD060000}"/>
    <cellStyle name="40% - Accent5 4 7 2" xfId="13034" xr:uid="{5B1A06AF-2094-4F3E-B353-AE546E7FEAD2}"/>
    <cellStyle name="40% - Accent5 4 8" xfId="8816" xr:uid="{73FDC23A-22A9-4C87-A621-20E9C38ACCFC}"/>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8288BA95-21DC-40D7-90AB-0863C93A608E}"/>
    <cellStyle name="40% - Accent5 5 2 3" xfId="11368" xr:uid="{EDE3CDE8-DBD7-4AF9-958B-63E63194FB61}"/>
    <cellStyle name="40% - Accent5 5 3" xfId="4999" xr:uid="{00000000-0005-0000-0000-0000D1060000}"/>
    <cellStyle name="40% - Accent5 5 3 2" xfId="13441" xr:uid="{4BDB54E3-4A1B-4CD5-AA8C-65F047791065}"/>
    <cellStyle name="40% - Accent5 5 4" xfId="9223" xr:uid="{AD77B029-3802-4D2D-A5B3-881072E7B78F}"/>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4FCC39AE-6669-4EB8-A9B4-6211F87CCFC3}"/>
    <cellStyle name="40% - Accent5 6 2 3" xfId="11781" xr:uid="{4CEC6819-2E8E-43EB-9421-8019FEA2FBE2}"/>
    <cellStyle name="40% - Accent5 6 3" xfId="5412" xr:uid="{00000000-0005-0000-0000-0000D5060000}"/>
    <cellStyle name="40% - Accent5 6 3 2" xfId="13854" xr:uid="{4B30FF33-49D9-4FEA-9CD9-6192B6851A5C}"/>
    <cellStyle name="40% - Accent5 6 4" xfId="9636" xr:uid="{96132A87-50BF-47AC-AAF8-03B7D7B1106D}"/>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020C9320-7ECE-4319-ADD0-BAA1CC23DD98}"/>
    <cellStyle name="40% - Accent5 7 2 3" xfId="12194" xr:uid="{F0305A9B-BE5A-47BD-A62E-2D6B259BA13D}"/>
    <cellStyle name="40% - Accent5 7 3" xfId="5825" xr:uid="{00000000-0005-0000-0000-0000D9060000}"/>
    <cellStyle name="40% - Accent5 7 3 2" xfId="14267" xr:uid="{1471CEA4-B214-4AC5-A3BC-59E3F27DC84E}"/>
    <cellStyle name="40% - Accent5 7 4" xfId="10049" xr:uid="{D396E620-3A78-483C-9081-D784FAA605B8}"/>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A27FBE43-5B73-49D9-9393-7AA06E77D5AC}"/>
    <cellStyle name="40% - Accent5 8 2 3" xfId="12607" xr:uid="{E10334C9-223D-437F-8FF7-435782DEEC7B}"/>
    <cellStyle name="40% - Accent5 8 3" xfId="6238" xr:uid="{00000000-0005-0000-0000-0000DD060000}"/>
    <cellStyle name="40% - Accent5 8 3 2" xfId="14680" xr:uid="{5534CC09-3542-4982-9EBC-377A19F2067D}"/>
    <cellStyle name="40% - Accent5 8 4" xfId="10462" xr:uid="{F2D1983B-CCF1-40D8-9B47-D2CD2C2D9ACC}"/>
    <cellStyle name="40% - Accent5 9" xfId="2344" xr:uid="{00000000-0005-0000-0000-0000DE060000}"/>
    <cellStyle name="40% - Accent5 9 2" xfId="6651" xr:uid="{00000000-0005-0000-0000-0000DF060000}"/>
    <cellStyle name="40% - Accent5 9 2 2" xfId="15093" xr:uid="{B83D2A24-E7B7-4058-AF11-388D0BC7CBED}"/>
    <cellStyle name="40% - Accent5 9 3" xfId="10875" xr:uid="{C2FC1DE7-BC32-4E17-984E-F867C2D03BF1}"/>
    <cellStyle name="40% - Accent6" xfId="89" builtinId="51" customBuiltin="1"/>
    <cellStyle name="40% - Accent6 10" xfId="4593" xr:uid="{00000000-0005-0000-0000-0000E1060000}"/>
    <cellStyle name="40% - Accent6 10 2" xfId="13035" xr:uid="{923ED091-E4EB-4BB2-963C-065D04D353B4}"/>
    <cellStyle name="40% - Accent6 11" xfId="8817" xr:uid="{3863287B-F1CC-44DF-98F3-0B48A98A9C68}"/>
    <cellStyle name="40% - Accent6 2" xfId="90" xr:uid="{00000000-0005-0000-0000-0000E2060000}"/>
    <cellStyle name="40% - Accent6 2 10" xfId="8818" xr:uid="{067CE386-99B7-4111-879C-A4106AFA340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2FCF3681-142F-4F40-8089-74DDC0498938}"/>
    <cellStyle name="40% - Accent6 2 2 2 2 2 3" xfId="11379" xr:uid="{E1353341-2774-40AF-A308-03933429B2C8}"/>
    <cellStyle name="40% - Accent6 2 2 2 2 3" xfId="5010" xr:uid="{00000000-0005-0000-0000-0000E8060000}"/>
    <cellStyle name="40% - Accent6 2 2 2 2 3 2" xfId="13452" xr:uid="{189D8F5A-DBF3-40A2-A68A-8E9994989416}"/>
    <cellStyle name="40% - Accent6 2 2 2 2 4" xfId="9234" xr:uid="{8A3CA0AD-D577-4DB2-BE02-087C77884EBD}"/>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712972F-AA14-422E-A04B-FB7D753F0641}"/>
    <cellStyle name="40% - Accent6 2 2 2 3 2 3" xfId="11792" xr:uid="{ECB3AF9C-6B38-4BEB-A2FC-560D38AF4DA5}"/>
    <cellStyle name="40% - Accent6 2 2 2 3 3" xfId="5423" xr:uid="{00000000-0005-0000-0000-0000EC060000}"/>
    <cellStyle name="40% - Accent6 2 2 2 3 3 2" xfId="13865" xr:uid="{9605EE7F-7ED6-455D-8F2A-78B3B0CCC6CC}"/>
    <cellStyle name="40% - Accent6 2 2 2 3 4" xfId="9647" xr:uid="{3A96F574-5535-4DB6-BC08-54D5B229E95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83EB6E5A-EBB3-4B14-AA6F-149712670534}"/>
    <cellStyle name="40% - Accent6 2 2 2 4 2 3" xfId="12205" xr:uid="{0627266E-B602-4393-BB51-0ECF22F1285B}"/>
    <cellStyle name="40% - Accent6 2 2 2 4 3" xfId="5836" xr:uid="{00000000-0005-0000-0000-0000F0060000}"/>
    <cellStyle name="40% - Accent6 2 2 2 4 3 2" xfId="14278" xr:uid="{269A937D-FFCA-4B63-97D3-46D10C662D29}"/>
    <cellStyle name="40% - Accent6 2 2 2 4 4" xfId="10060" xr:uid="{AFBDEEFE-7984-41FC-946A-B9F00007ADA6}"/>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DF2C3CD9-CCC6-4F1F-AB49-1EDB2C0A03CB}"/>
    <cellStyle name="40% - Accent6 2 2 2 5 2 3" xfId="12618" xr:uid="{911D5B03-FBC4-4662-B3B8-884FD2B7F546}"/>
    <cellStyle name="40% - Accent6 2 2 2 5 3" xfId="6249" xr:uid="{00000000-0005-0000-0000-0000F4060000}"/>
    <cellStyle name="40% - Accent6 2 2 2 5 3 2" xfId="14691" xr:uid="{CB152ABE-7046-49BE-8ACC-7C1B503F18CD}"/>
    <cellStyle name="40% - Accent6 2 2 2 5 4" xfId="10473" xr:uid="{7B174F7F-9A1D-4F37-9C3E-C7E14F7FC7C7}"/>
    <cellStyle name="40% - Accent6 2 2 2 6" xfId="2355" xr:uid="{00000000-0005-0000-0000-0000F5060000}"/>
    <cellStyle name="40% - Accent6 2 2 2 6 2" xfId="6662" xr:uid="{00000000-0005-0000-0000-0000F6060000}"/>
    <cellStyle name="40% - Accent6 2 2 2 6 2 2" xfId="15104" xr:uid="{0E1911E1-EBC9-41B2-BF5A-05FDF4E605FE}"/>
    <cellStyle name="40% - Accent6 2 2 2 6 3" xfId="10886" xr:uid="{3B545C7A-F325-4B66-93B8-3DEE27A69A4C}"/>
    <cellStyle name="40% - Accent6 2 2 2 7" xfId="4596" xr:uid="{00000000-0005-0000-0000-0000F7060000}"/>
    <cellStyle name="40% - Accent6 2 2 2 7 2" xfId="13038" xr:uid="{5492236B-9872-4B76-B7ED-99DD03700C40}"/>
    <cellStyle name="40% - Accent6 2 2 2 8" xfId="8820" xr:uid="{24EF8FF1-2E4B-4C2B-A00D-3C7701D84533}"/>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BA78F18E-59E0-4E6B-8B3B-5E0565AA92F8}"/>
    <cellStyle name="40% - Accent6 2 2 3 2 3" xfId="11378" xr:uid="{A25C200C-076D-488B-9369-0FDF85C4E332}"/>
    <cellStyle name="40% - Accent6 2 2 3 3" xfId="5009" xr:uid="{00000000-0005-0000-0000-0000FB060000}"/>
    <cellStyle name="40% - Accent6 2 2 3 3 2" xfId="13451" xr:uid="{86054291-AA08-42E1-8AD6-BA990CF5374B}"/>
    <cellStyle name="40% - Accent6 2 2 3 4" xfId="9233" xr:uid="{A923FA87-0C87-4155-9EF1-1FA2F4D19DE8}"/>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8ECD852F-8523-4173-AE7B-52277EE926F5}"/>
    <cellStyle name="40% - Accent6 2 2 4 2 3" xfId="11791" xr:uid="{BBD55BD4-EF4B-41B3-A16C-0D5EF95A0F1E}"/>
    <cellStyle name="40% - Accent6 2 2 4 3" xfId="5422" xr:uid="{00000000-0005-0000-0000-0000FF060000}"/>
    <cellStyle name="40% - Accent6 2 2 4 3 2" xfId="13864" xr:uid="{F26743A4-AE09-42C4-9D99-131BB1A98279}"/>
    <cellStyle name="40% - Accent6 2 2 4 4" xfId="9646" xr:uid="{B15A991D-56B4-4678-9C53-B48AB57129E1}"/>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5DBFE522-3648-4C44-BAD7-4F936F790BC9}"/>
    <cellStyle name="40% - Accent6 2 2 5 2 3" xfId="12204" xr:uid="{5D2E4693-5539-4A67-8D3D-B327B12468FE}"/>
    <cellStyle name="40% - Accent6 2 2 5 3" xfId="5835" xr:uid="{00000000-0005-0000-0000-000003070000}"/>
    <cellStyle name="40% - Accent6 2 2 5 3 2" xfId="14277" xr:uid="{B5F3E72C-258B-4896-82D7-93405351D3E6}"/>
    <cellStyle name="40% - Accent6 2 2 5 4" xfId="10059" xr:uid="{3B39A837-CF8B-4DD4-A83A-24AD271E2C16}"/>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18310251-9199-4D03-8BE0-6CEFF28FED12}"/>
    <cellStyle name="40% - Accent6 2 2 6 2 3" xfId="12617" xr:uid="{43B166E2-285A-4AD8-B6CA-2247C11360BF}"/>
    <cellStyle name="40% - Accent6 2 2 6 3" xfId="6248" xr:uid="{00000000-0005-0000-0000-000007070000}"/>
    <cellStyle name="40% - Accent6 2 2 6 3 2" xfId="14690" xr:uid="{F10FFBA5-34A7-462D-817E-3C6F3F948900}"/>
    <cellStyle name="40% - Accent6 2 2 6 4" xfId="10472" xr:uid="{9AFC6664-0C18-4D00-83A0-E358A37970D8}"/>
    <cellStyle name="40% - Accent6 2 2 7" xfId="2354" xr:uid="{00000000-0005-0000-0000-000008070000}"/>
    <cellStyle name="40% - Accent6 2 2 7 2" xfId="6661" xr:uid="{00000000-0005-0000-0000-000009070000}"/>
    <cellStyle name="40% - Accent6 2 2 7 2 2" xfId="15103" xr:uid="{2D65D156-A147-46E3-8D2E-BBC693B68B15}"/>
    <cellStyle name="40% - Accent6 2 2 7 3" xfId="10885" xr:uid="{11295599-69B5-4DF8-ACB4-39A0183D589B}"/>
    <cellStyle name="40% - Accent6 2 2 8" xfId="4595" xr:uid="{00000000-0005-0000-0000-00000A070000}"/>
    <cellStyle name="40% - Accent6 2 2 8 2" xfId="13037" xr:uid="{06C5096E-8529-435A-B167-3BA547FF461C}"/>
    <cellStyle name="40% - Accent6 2 2 9" xfId="8819" xr:uid="{EF00E730-1180-4039-B63C-6091BFE6CE4E}"/>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6B7D832F-29BB-41AE-882A-1C3C07E6BDA3}"/>
    <cellStyle name="40% - Accent6 2 3 2 2 3" xfId="11380" xr:uid="{5AC4B829-4B1B-4CEF-A1A0-CB26D0DCB786}"/>
    <cellStyle name="40% - Accent6 2 3 2 3" xfId="5011" xr:uid="{00000000-0005-0000-0000-00000F070000}"/>
    <cellStyle name="40% - Accent6 2 3 2 3 2" xfId="13453" xr:uid="{E21F882A-B85B-40FD-A3A3-08E001FB2A08}"/>
    <cellStyle name="40% - Accent6 2 3 2 4" xfId="9235" xr:uid="{3FDEC39B-8861-41C0-97C5-0FAF6BA50B2C}"/>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B4B4B326-6582-48EA-B73D-14F47657BFEC}"/>
    <cellStyle name="40% - Accent6 2 3 3 2 3" xfId="11793" xr:uid="{D72247EE-DB75-44C4-BB3A-76FF93007F0A}"/>
    <cellStyle name="40% - Accent6 2 3 3 3" xfId="5424" xr:uid="{00000000-0005-0000-0000-000013070000}"/>
    <cellStyle name="40% - Accent6 2 3 3 3 2" xfId="13866" xr:uid="{31F86755-643F-4951-A547-61B621E6B248}"/>
    <cellStyle name="40% - Accent6 2 3 3 4" xfId="9648" xr:uid="{E050A91D-B95C-4B45-BD0F-E3877D61B8DD}"/>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C36FAD9A-5F58-4033-9E04-B25B144A0DF1}"/>
    <cellStyle name="40% - Accent6 2 3 4 2 3" xfId="12206" xr:uid="{C0CCEDA7-27EA-4C44-AFDF-31EB3D322095}"/>
    <cellStyle name="40% - Accent6 2 3 4 3" xfId="5837" xr:uid="{00000000-0005-0000-0000-000017070000}"/>
    <cellStyle name="40% - Accent6 2 3 4 3 2" xfId="14279" xr:uid="{D70F373C-8E6B-481B-B974-06EE2999D35A}"/>
    <cellStyle name="40% - Accent6 2 3 4 4" xfId="10061" xr:uid="{EC13C4F0-8265-42B7-967C-4EF53B9C3723}"/>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8CECFDCF-4963-4A15-A71E-35290F331D16}"/>
    <cellStyle name="40% - Accent6 2 3 5 2 3" xfId="12619" xr:uid="{AD5B528A-0125-41C9-B025-82BC4E9436EF}"/>
    <cellStyle name="40% - Accent6 2 3 5 3" xfId="6250" xr:uid="{00000000-0005-0000-0000-00001B070000}"/>
    <cellStyle name="40% - Accent6 2 3 5 3 2" xfId="14692" xr:uid="{6AC40886-48D5-4683-A86F-A8F803CFF5FE}"/>
    <cellStyle name="40% - Accent6 2 3 5 4" xfId="10474" xr:uid="{3598F5A0-471D-4E13-8263-F3ADFCD2261B}"/>
    <cellStyle name="40% - Accent6 2 3 6" xfId="2356" xr:uid="{00000000-0005-0000-0000-00001C070000}"/>
    <cellStyle name="40% - Accent6 2 3 6 2" xfId="6663" xr:uid="{00000000-0005-0000-0000-00001D070000}"/>
    <cellStyle name="40% - Accent6 2 3 6 2 2" xfId="15105" xr:uid="{1D9D08C0-BB23-4200-9C59-1D84550C99E9}"/>
    <cellStyle name="40% - Accent6 2 3 6 3" xfId="10887" xr:uid="{9C37EDB3-2800-4F93-A176-37066281AB7F}"/>
    <cellStyle name="40% - Accent6 2 3 7" xfId="4597" xr:uid="{00000000-0005-0000-0000-00001E070000}"/>
    <cellStyle name="40% - Accent6 2 3 7 2" xfId="13039" xr:uid="{CEBE107C-37A7-4F8E-A0CA-3A06EA2CA33F}"/>
    <cellStyle name="40% - Accent6 2 3 8" xfId="8821" xr:uid="{E414A5BC-AB87-4940-BFC5-BBF9B9FD37F4}"/>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81A55F2C-35CC-4F27-9639-1FB16F8B3BD2}"/>
    <cellStyle name="40% - Accent6 2 4 2 3" xfId="11377" xr:uid="{34751EBE-F769-41C1-A318-38333084BA93}"/>
    <cellStyle name="40% - Accent6 2 4 3" xfId="5008" xr:uid="{00000000-0005-0000-0000-000022070000}"/>
    <cellStyle name="40% - Accent6 2 4 3 2" xfId="13450" xr:uid="{F3758D9A-56C4-4499-A356-3042ECAB3354}"/>
    <cellStyle name="40% - Accent6 2 4 4" xfId="9232" xr:uid="{A0522E91-598B-4E9E-99B4-AB9CB0C4EDD4}"/>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5A1FB210-FCF9-4266-B61F-08F604D4A529}"/>
    <cellStyle name="40% - Accent6 2 5 2 3" xfId="11790" xr:uid="{7DD7A48E-3991-4099-8D09-A03DB71D4D74}"/>
    <cellStyle name="40% - Accent6 2 5 3" xfId="5421" xr:uid="{00000000-0005-0000-0000-000026070000}"/>
    <cellStyle name="40% - Accent6 2 5 3 2" xfId="13863" xr:uid="{2C640821-2425-4860-977A-BAC9F9F0BBA1}"/>
    <cellStyle name="40% - Accent6 2 5 4" xfId="9645" xr:uid="{D319F9B3-CBF3-4D7B-9C70-ABD2BFBCB8D4}"/>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A6869074-CCD7-4F83-AC3A-9066C53F4030}"/>
    <cellStyle name="40% - Accent6 2 6 2 3" xfId="12203" xr:uid="{3BF6B5FE-890D-41F1-B14C-3D5F727127D6}"/>
    <cellStyle name="40% - Accent6 2 6 3" xfId="5834" xr:uid="{00000000-0005-0000-0000-00002A070000}"/>
    <cellStyle name="40% - Accent6 2 6 3 2" xfId="14276" xr:uid="{8373579D-218F-4D97-BA99-22C94CA0E063}"/>
    <cellStyle name="40% - Accent6 2 6 4" xfId="10058" xr:uid="{19E61117-394A-44BD-A29C-88EEAE2BAD24}"/>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A0DBDECE-DF05-4AB6-A89A-D49E57F29354}"/>
    <cellStyle name="40% - Accent6 2 7 2 3" xfId="12616" xr:uid="{50AF58C2-E877-4519-AC92-8FC02FF39C27}"/>
    <cellStyle name="40% - Accent6 2 7 3" xfId="6247" xr:uid="{00000000-0005-0000-0000-00002E070000}"/>
    <cellStyle name="40% - Accent6 2 7 3 2" xfId="14689" xr:uid="{741525F4-6257-491A-A0FD-DBB009306CE8}"/>
    <cellStyle name="40% - Accent6 2 7 4" xfId="10471" xr:uid="{8642EB48-B25A-4EAB-9933-E45E4DD940F4}"/>
    <cellStyle name="40% - Accent6 2 8" xfId="2353" xr:uid="{00000000-0005-0000-0000-00002F070000}"/>
    <cellStyle name="40% - Accent6 2 8 2" xfId="6660" xr:uid="{00000000-0005-0000-0000-000030070000}"/>
    <cellStyle name="40% - Accent6 2 8 2 2" xfId="15102" xr:uid="{874521FD-FF0B-4ECC-A2E9-98356256DD7F}"/>
    <cellStyle name="40% - Accent6 2 8 3" xfId="10884" xr:uid="{0AF4F04C-A6AF-4CA0-A993-764E85802C4C}"/>
    <cellStyle name="40% - Accent6 2 9" xfId="4594" xr:uid="{00000000-0005-0000-0000-000031070000}"/>
    <cellStyle name="40% - Accent6 2 9 2" xfId="13036" xr:uid="{A7325F01-C73C-4488-9B94-755E0586536C}"/>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910D1C49-45DA-4902-9525-ACB441491F98}"/>
    <cellStyle name="40% - Accent6 3 2 2 2 3" xfId="11382" xr:uid="{A1CFEB9E-9FBB-46B1-B133-1F179692A8E9}"/>
    <cellStyle name="40% - Accent6 3 2 2 3" xfId="5013" xr:uid="{00000000-0005-0000-0000-000037070000}"/>
    <cellStyle name="40% - Accent6 3 2 2 3 2" xfId="13455" xr:uid="{F46C65F9-6D97-4D64-AFFC-164E138EF3CF}"/>
    <cellStyle name="40% - Accent6 3 2 2 4" xfId="9237" xr:uid="{9AF5A6C4-0811-4C35-A89C-B33D2465E7DC}"/>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67D182E2-8FB0-4A22-AD95-C93B4A04E44A}"/>
    <cellStyle name="40% - Accent6 3 2 3 2 3" xfId="11795" xr:uid="{AB30AAFB-D8D1-48C0-BCEF-6588E5E2120F}"/>
    <cellStyle name="40% - Accent6 3 2 3 3" xfId="5426" xr:uid="{00000000-0005-0000-0000-00003B070000}"/>
    <cellStyle name="40% - Accent6 3 2 3 3 2" xfId="13868" xr:uid="{05DE6B70-091E-477A-AC78-9386C7386339}"/>
    <cellStyle name="40% - Accent6 3 2 3 4" xfId="9650" xr:uid="{D42B2055-3AEB-438E-8B5A-BEE55D50786D}"/>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BF773CFB-5C33-4968-A79E-D30DF0AB1AB5}"/>
    <cellStyle name="40% - Accent6 3 2 4 2 3" xfId="12208" xr:uid="{03B7DB50-6754-4A7E-91E2-CB182292D76C}"/>
    <cellStyle name="40% - Accent6 3 2 4 3" xfId="5839" xr:uid="{00000000-0005-0000-0000-00003F070000}"/>
    <cellStyle name="40% - Accent6 3 2 4 3 2" xfId="14281" xr:uid="{E63A6440-5B59-484E-A98D-BEE0C5E2938C}"/>
    <cellStyle name="40% - Accent6 3 2 4 4" xfId="10063" xr:uid="{62C9EEAD-8A20-4835-8EF6-FF52465F5DCC}"/>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6B720F5E-7E49-4D85-A209-FF3BAF005D37}"/>
    <cellStyle name="40% - Accent6 3 2 5 2 3" xfId="12621" xr:uid="{5230BFF6-B85E-46AE-BD6C-8B6A9EA832AD}"/>
    <cellStyle name="40% - Accent6 3 2 5 3" xfId="6252" xr:uid="{00000000-0005-0000-0000-000043070000}"/>
    <cellStyle name="40% - Accent6 3 2 5 3 2" xfId="14694" xr:uid="{4929047E-827A-4206-8319-D5976EB3B71D}"/>
    <cellStyle name="40% - Accent6 3 2 5 4" xfId="10476" xr:uid="{CBA8B04B-C54B-409B-831A-76951FDA58F6}"/>
    <cellStyle name="40% - Accent6 3 2 6" xfId="2358" xr:uid="{00000000-0005-0000-0000-000044070000}"/>
    <cellStyle name="40% - Accent6 3 2 6 2" xfId="6665" xr:uid="{00000000-0005-0000-0000-000045070000}"/>
    <cellStyle name="40% - Accent6 3 2 6 2 2" xfId="15107" xr:uid="{AB3B0F7B-70B8-4C7E-8040-5A16184AD118}"/>
    <cellStyle name="40% - Accent6 3 2 6 3" xfId="10889" xr:uid="{57D8A07B-3E3E-4DA1-A677-E57A3E4C2EA8}"/>
    <cellStyle name="40% - Accent6 3 2 7" xfId="4599" xr:uid="{00000000-0005-0000-0000-000046070000}"/>
    <cellStyle name="40% - Accent6 3 2 7 2" xfId="13041" xr:uid="{FFFC2A56-35E1-437A-80A9-6531FE6E79CA}"/>
    <cellStyle name="40% - Accent6 3 2 8" xfId="8823" xr:uid="{9E517031-A17C-42B4-81E7-56FB49C75D4A}"/>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A9705CD0-8592-4C1B-B6E8-7CBB603BD145}"/>
    <cellStyle name="40% - Accent6 3 3 2 3" xfId="11381" xr:uid="{0D48526E-DE68-4CFB-8F8D-BCEB98C61BFD}"/>
    <cellStyle name="40% - Accent6 3 3 3" xfId="5012" xr:uid="{00000000-0005-0000-0000-00004A070000}"/>
    <cellStyle name="40% - Accent6 3 3 3 2" xfId="13454" xr:uid="{1F391B53-7E43-4801-AFB9-E2DA00C459EA}"/>
    <cellStyle name="40% - Accent6 3 3 4" xfId="9236" xr:uid="{9B4E59A4-C6E2-4D2F-A7F2-10B340CB0098}"/>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4CCD9E45-67F4-4F89-A47A-24028406A1C4}"/>
    <cellStyle name="40% - Accent6 3 4 2 3" xfId="11794" xr:uid="{6D6F6219-CEFD-4220-8082-7B50DBCD518D}"/>
    <cellStyle name="40% - Accent6 3 4 3" xfId="5425" xr:uid="{00000000-0005-0000-0000-00004E070000}"/>
    <cellStyle name="40% - Accent6 3 4 3 2" xfId="13867" xr:uid="{0ECA70A6-D494-49B0-BE89-3B2E9791A1F3}"/>
    <cellStyle name="40% - Accent6 3 4 4" xfId="9649" xr:uid="{F8E2A412-9A36-402A-834E-EEB239B6FAB1}"/>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8EECC6C8-6A9A-4587-ACD7-CDFDFB9BBD84}"/>
    <cellStyle name="40% - Accent6 3 5 2 3" xfId="12207" xr:uid="{614F74B8-71E0-4951-AD2B-5E9ABF3D7844}"/>
    <cellStyle name="40% - Accent6 3 5 3" xfId="5838" xr:uid="{00000000-0005-0000-0000-000052070000}"/>
    <cellStyle name="40% - Accent6 3 5 3 2" xfId="14280" xr:uid="{78085CA9-1B20-46B3-98E9-ECEE64447CFE}"/>
    <cellStyle name="40% - Accent6 3 5 4" xfId="10062" xr:uid="{804652D9-1CA3-4A7D-ACAE-64093194DFAC}"/>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5269A9E0-56D1-4781-A299-64468EA6ECD3}"/>
    <cellStyle name="40% - Accent6 3 6 2 3" xfId="12620" xr:uid="{CFDB73B4-F504-4A09-807B-A421AB76E17F}"/>
    <cellStyle name="40% - Accent6 3 6 3" xfId="6251" xr:uid="{00000000-0005-0000-0000-000056070000}"/>
    <cellStyle name="40% - Accent6 3 6 3 2" xfId="14693" xr:uid="{72B151DC-F7E2-456A-87A6-966657191CBC}"/>
    <cellStyle name="40% - Accent6 3 6 4" xfId="10475" xr:uid="{F0DEA512-E308-4B7E-9050-382268276CAA}"/>
    <cellStyle name="40% - Accent6 3 7" xfId="2357" xr:uid="{00000000-0005-0000-0000-000057070000}"/>
    <cellStyle name="40% - Accent6 3 7 2" xfId="6664" xr:uid="{00000000-0005-0000-0000-000058070000}"/>
    <cellStyle name="40% - Accent6 3 7 2 2" xfId="15106" xr:uid="{D712B976-80E3-4A14-AB5B-3295911AEF27}"/>
    <cellStyle name="40% - Accent6 3 7 3" xfId="10888" xr:uid="{6F10A8C9-0E08-4F67-A0EC-6EE9BC9D3FE4}"/>
    <cellStyle name="40% - Accent6 3 8" xfId="4598" xr:uid="{00000000-0005-0000-0000-000059070000}"/>
    <cellStyle name="40% - Accent6 3 8 2" xfId="13040" xr:uid="{4DFA2807-1FEE-4187-BA49-092EA1872247}"/>
    <cellStyle name="40% - Accent6 3 9" xfId="8822" xr:uid="{3ADF5AB3-F982-4F42-8AAB-C5A888FC3E98}"/>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6DADBF35-84E3-4067-A852-CCDCA3E8AACC}"/>
    <cellStyle name="40% - Accent6 4 2 2 3" xfId="11383" xr:uid="{A321C8A4-6DC5-4249-BF8D-DDC099675A17}"/>
    <cellStyle name="40% - Accent6 4 2 3" xfId="5014" xr:uid="{00000000-0005-0000-0000-00005E070000}"/>
    <cellStyle name="40% - Accent6 4 2 3 2" xfId="13456" xr:uid="{FC3CB2D0-18EC-413F-9AF9-A09561BF63FC}"/>
    <cellStyle name="40% - Accent6 4 2 4" xfId="9238" xr:uid="{C8B24993-B28A-475B-AE2E-92E21316C8D4}"/>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D9ADDE9B-49EB-48F4-BF0D-82A4C340B34E}"/>
    <cellStyle name="40% - Accent6 4 3 2 3" xfId="11796" xr:uid="{FF174B78-AEFE-49E3-8BD8-32D7DFF91E94}"/>
    <cellStyle name="40% - Accent6 4 3 3" xfId="5427" xr:uid="{00000000-0005-0000-0000-000062070000}"/>
    <cellStyle name="40% - Accent6 4 3 3 2" xfId="13869" xr:uid="{60EDD4AC-4D7E-46EC-A180-A9BF27C6B8A9}"/>
    <cellStyle name="40% - Accent6 4 3 4" xfId="9651" xr:uid="{9DBB6D74-4D40-4EBE-BAB5-BBED6BDA48F6}"/>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2E744A0A-8B0E-4756-9465-0B08CC5AAE20}"/>
    <cellStyle name="40% - Accent6 4 4 2 3" xfId="12209" xr:uid="{58A7BCCE-2074-41F6-87E9-0D1F89AD0324}"/>
    <cellStyle name="40% - Accent6 4 4 3" xfId="5840" xr:uid="{00000000-0005-0000-0000-000066070000}"/>
    <cellStyle name="40% - Accent6 4 4 3 2" xfId="14282" xr:uid="{3D0CCB93-2D4D-4A39-B3FA-84F4924FD78D}"/>
    <cellStyle name="40% - Accent6 4 4 4" xfId="10064" xr:uid="{39113962-F66F-44D0-A5D7-775325BC6CF9}"/>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5B6C5EE6-923F-4EA8-BD7A-6026B704D07F}"/>
    <cellStyle name="40% - Accent6 4 5 2 3" xfId="12622" xr:uid="{295E6103-0284-4AB2-9984-91224EB13B8B}"/>
    <cellStyle name="40% - Accent6 4 5 3" xfId="6253" xr:uid="{00000000-0005-0000-0000-00006A070000}"/>
    <cellStyle name="40% - Accent6 4 5 3 2" xfId="14695" xr:uid="{967AE3F0-995B-457A-9DF8-C505E041F9ED}"/>
    <cellStyle name="40% - Accent6 4 5 4" xfId="10477" xr:uid="{4C3B3475-D544-4331-8656-3DD7057140E4}"/>
    <cellStyle name="40% - Accent6 4 6" xfId="2359" xr:uid="{00000000-0005-0000-0000-00006B070000}"/>
    <cellStyle name="40% - Accent6 4 6 2" xfId="6666" xr:uid="{00000000-0005-0000-0000-00006C070000}"/>
    <cellStyle name="40% - Accent6 4 6 2 2" xfId="15108" xr:uid="{248FC905-E50E-4087-AE99-85BDC8A6054E}"/>
    <cellStyle name="40% - Accent6 4 6 3" xfId="10890" xr:uid="{0FFA9A79-6E19-40DF-A7C5-8E9AC6107FF5}"/>
    <cellStyle name="40% - Accent6 4 7" xfId="4600" xr:uid="{00000000-0005-0000-0000-00006D070000}"/>
    <cellStyle name="40% - Accent6 4 7 2" xfId="13042" xr:uid="{38D3F3C5-E37D-45EF-B85C-8A66150A261D}"/>
    <cellStyle name="40% - Accent6 4 8" xfId="8824" xr:uid="{EB60F5E5-F44B-462E-8C6B-D5A0B8D683EC}"/>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76C36956-0D86-48FC-B39F-0F0295FE1220}"/>
    <cellStyle name="40% - Accent6 5 2 3" xfId="11376" xr:uid="{E7D32825-A6BE-45F1-BDCD-9F0D7FBC412F}"/>
    <cellStyle name="40% - Accent6 5 3" xfId="5007" xr:uid="{00000000-0005-0000-0000-000071070000}"/>
    <cellStyle name="40% - Accent6 5 3 2" xfId="13449" xr:uid="{4C861FE9-A77E-404E-A131-74EE6C0C2443}"/>
    <cellStyle name="40% - Accent6 5 4" xfId="9231" xr:uid="{82D93212-7F72-4DF4-8C61-95B61865287C}"/>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71F54EF0-C6A1-4077-982C-5B1C3A0A0001}"/>
    <cellStyle name="40% - Accent6 6 2 3" xfId="11789" xr:uid="{9A474FC6-78BC-4248-AA0D-7983EB099800}"/>
    <cellStyle name="40% - Accent6 6 3" xfId="5420" xr:uid="{00000000-0005-0000-0000-000075070000}"/>
    <cellStyle name="40% - Accent6 6 3 2" xfId="13862" xr:uid="{AF2B2F70-8E03-4BDF-ADFA-3E2560B3C33D}"/>
    <cellStyle name="40% - Accent6 6 4" xfId="9644" xr:uid="{EF02B33D-433E-494B-AEF7-8D5E707AF9C1}"/>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C481DE8B-ADE1-481E-9189-1CD0CA364AFC}"/>
    <cellStyle name="40% - Accent6 7 2 3" xfId="12202" xr:uid="{0133E8CC-0DAE-4954-A16E-287D91F299A1}"/>
    <cellStyle name="40% - Accent6 7 3" xfId="5833" xr:uid="{00000000-0005-0000-0000-000079070000}"/>
    <cellStyle name="40% - Accent6 7 3 2" xfId="14275" xr:uid="{1CBDF581-5E36-4B08-8D40-89DDFA62FA80}"/>
    <cellStyle name="40% - Accent6 7 4" xfId="10057" xr:uid="{C8560BF8-5D82-4316-A6E0-EAB527A85C3B}"/>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5979481B-68A5-481F-BB18-944B8A67E846}"/>
    <cellStyle name="40% - Accent6 8 2 3" xfId="12615" xr:uid="{DF2B3397-03B4-4B49-87F5-8F0E45B91DD7}"/>
    <cellStyle name="40% - Accent6 8 3" xfId="6246" xr:uid="{00000000-0005-0000-0000-00007D070000}"/>
    <cellStyle name="40% - Accent6 8 3 2" xfId="14688" xr:uid="{6FFC975F-89E0-4ED3-B00E-4E6EEBD90A53}"/>
    <cellStyle name="40% - Accent6 8 4" xfId="10470" xr:uid="{FEC31D99-A203-4E0D-873F-3BA3918CE244}"/>
    <cellStyle name="40% - Accent6 9" xfId="2352" xr:uid="{00000000-0005-0000-0000-00007E070000}"/>
    <cellStyle name="40% - Accent6 9 2" xfId="6659" xr:uid="{00000000-0005-0000-0000-00007F070000}"/>
    <cellStyle name="40% - Accent6 9 2 2" xfId="15101" xr:uid="{D0468D2D-7BFA-49C3-9E5B-6B5EF01D53B7}"/>
    <cellStyle name="40% - Accent6 9 3" xfId="10883" xr:uid="{5D233186-CD43-4914-8901-C7D822CFAC0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D6B78687-1748-43AF-A180-E8FBE1F1682A}"/>
    <cellStyle name="Comma 4 2 2 2 10 3" xfId="11208" xr:uid="{65B939DE-2964-4F24-AF86-64791DF4AF86}"/>
    <cellStyle name="Comma 4 2 2 2 11" xfId="4601" xr:uid="{00000000-0005-0000-0000-0000A3070000}"/>
    <cellStyle name="Comma 4 2 2 2 11 2" xfId="13043" xr:uid="{BAD53DFC-EDC1-4620-9330-D3BFA5A1AA8E}"/>
    <cellStyle name="Comma 4 2 2 2 12" xfId="8825" xr:uid="{483685DC-E756-4993-A8F0-C82283EA0C3B}"/>
    <cellStyle name="Comma 4 2 2 2 2" xfId="129" xr:uid="{00000000-0005-0000-0000-0000A4070000}"/>
    <cellStyle name="Comma 4 2 2 2 2 10" xfId="4602" xr:uid="{00000000-0005-0000-0000-0000A5070000}"/>
    <cellStyle name="Comma 4 2 2 2 2 10 2" xfId="13044" xr:uid="{FC4D28F6-0EAB-4238-AB6D-3613F48D6418}"/>
    <cellStyle name="Comma 4 2 2 2 2 11" xfId="8826" xr:uid="{2AB918AF-B6B1-4AFB-95A5-19844E616C7E}"/>
    <cellStyle name="Comma 4 2 2 2 2 2" xfId="130" xr:uid="{00000000-0005-0000-0000-0000A6070000}"/>
    <cellStyle name="Comma 4 2 2 2 2 2 10" xfId="8827" xr:uid="{39B024B5-60B7-4E5D-9649-F946F8860781}"/>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656A0BFF-006F-4A35-A793-F3153798A0DF}"/>
    <cellStyle name="Comma 4 2 2 2 2 2 2 2 3" xfId="11386" xr:uid="{0D9F8AC2-09E2-4171-8280-CC8728520BA5}"/>
    <cellStyle name="Comma 4 2 2 2 2 2 2 3" xfId="5017" xr:uid="{00000000-0005-0000-0000-0000AA070000}"/>
    <cellStyle name="Comma 4 2 2 2 2 2 2 3 2" xfId="13459" xr:uid="{778E356A-2D0B-459D-8F7D-947F44F17041}"/>
    <cellStyle name="Comma 4 2 2 2 2 2 2 4" xfId="9241" xr:uid="{72604CA4-DBC5-4AFA-A4E9-C1F634DD4A4A}"/>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409AA4C7-8B2B-44A7-A6D1-EE7C16BAAF96}"/>
    <cellStyle name="Comma 4 2 2 2 2 2 3 2 3" xfId="11799" xr:uid="{FE94ABEA-B3B2-4543-9416-3C4CDE4BAF04}"/>
    <cellStyle name="Comma 4 2 2 2 2 2 3 3" xfId="5430" xr:uid="{00000000-0005-0000-0000-0000AE070000}"/>
    <cellStyle name="Comma 4 2 2 2 2 2 3 3 2" xfId="13872" xr:uid="{F6FE4FCC-6C5D-47C2-9541-EC3AB40CA334}"/>
    <cellStyle name="Comma 4 2 2 2 2 2 3 4" xfId="9654" xr:uid="{35A299C5-B06E-472C-A2DF-935FAC742F86}"/>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7A1E6DAD-437D-43F1-9FE5-6D2C2BF9B9D4}"/>
    <cellStyle name="Comma 4 2 2 2 2 2 4 2 3" xfId="12212" xr:uid="{CFD65F50-77D4-4172-BA32-C47638F5126C}"/>
    <cellStyle name="Comma 4 2 2 2 2 2 4 3" xfId="5843" xr:uid="{00000000-0005-0000-0000-0000B2070000}"/>
    <cellStyle name="Comma 4 2 2 2 2 2 4 3 2" xfId="14285" xr:uid="{63DC142B-E1C0-41E7-BEE6-7A5D3F1E10AA}"/>
    <cellStyle name="Comma 4 2 2 2 2 2 4 4" xfId="10067" xr:uid="{D170FA2C-61AA-466F-8478-E376F60DCC7C}"/>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BEAAEF80-53E6-4627-A460-DBAD72A187D5}"/>
    <cellStyle name="Comma 4 2 2 2 2 2 5 2 3" xfId="12625" xr:uid="{8CC934B4-A1D6-4B03-8D01-8D914EC67041}"/>
    <cellStyle name="Comma 4 2 2 2 2 2 5 3" xfId="6256" xr:uid="{00000000-0005-0000-0000-0000B6070000}"/>
    <cellStyle name="Comma 4 2 2 2 2 2 5 3 2" xfId="14698" xr:uid="{BA099628-E256-4C47-9F24-AF55BDB3EF5E}"/>
    <cellStyle name="Comma 4 2 2 2 2 2 5 4" xfId="10480" xr:uid="{F4893347-1077-4974-B2FB-15E322AD2655}"/>
    <cellStyle name="Comma 4 2 2 2 2 2 6" xfId="2384" xr:uid="{00000000-0005-0000-0000-0000B7070000}"/>
    <cellStyle name="Comma 4 2 2 2 2 2 6 2" xfId="6669" xr:uid="{00000000-0005-0000-0000-0000B8070000}"/>
    <cellStyle name="Comma 4 2 2 2 2 2 6 2 2" xfId="15111" xr:uid="{A996F663-6727-4949-B25B-C700D0D58656}"/>
    <cellStyle name="Comma 4 2 2 2 2 2 6 3" xfId="10893" xr:uid="{C8AEC39B-227A-4031-AA71-E9F74143C90B}"/>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7B58A9A3-5739-43C9-8BC4-C710E88FBF7F}"/>
    <cellStyle name="Comma 4 2 2 2 2 2 8 3" xfId="11210" xr:uid="{6C29562A-4FF9-496E-BA9F-9A1F3F541230}"/>
    <cellStyle name="Comma 4 2 2 2 2 2 9" xfId="4603" xr:uid="{00000000-0005-0000-0000-0000BC070000}"/>
    <cellStyle name="Comma 4 2 2 2 2 2 9 2" xfId="13045" xr:uid="{B9C7C9B5-451D-4BB6-BDCD-0DC5B4BE4679}"/>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651EF08C-9CF3-4547-9AE0-EED5C9288773}"/>
    <cellStyle name="Comma 4 2 2 2 2 3 2 3" xfId="11385" xr:uid="{D2B6DD5F-9516-473B-A752-96BC108538A3}"/>
    <cellStyle name="Comma 4 2 2 2 2 3 3" xfId="5016" xr:uid="{00000000-0005-0000-0000-0000C0070000}"/>
    <cellStyle name="Comma 4 2 2 2 2 3 3 2" xfId="13458" xr:uid="{B2F4F7CA-9693-42A7-A6EA-C24D4BFD8924}"/>
    <cellStyle name="Comma 4 2 2 2 2 3 4" xfId="9240" xr:uid="{CDD1BBA9-BDE3-4F84-8243-172F40EE50F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268DB52B-137E-4295-AD9E-D4677E222F2E}"/>
    <cellStyle name="Comma 4 2 2 2 2 4 2 3" xfId="11798" xr:uid="{C22010B5-6C0A-4513-9723-B445804BCE8E}"/>
    <cellStyle name="Comma 4 2 2 2 2 4 3" xfId="5429" xr:uid="{00000000-0005-0000-0000-0000C4070000}"/>
    <cellStyle name="Comma 4 2 2 2 2 4 3 2" xfId="13871" xr:uid="{2C144C65-82F3-4C26-9A09-2BDDF3E628D6}"/>
    <cellStyle name="Comma 4 2 2 2 2 4 4" xfId="9653" xr:uid="{5256303C-4CA5-43BB-AAE1-4DC500752B2B}"/>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01D6171F-3894-4D58-A9B7-1CCF4284A52E}"/>
    <cellStyle name="Comma 4 2 2 2 2 5 2 3" xfId="12211" xr:uid="{B0EC0EA3-9911-4C18-802E-0EB46452B20D}"/>
    <cellStyle name="Comma 4 2 2 2 2 5 3" xfId="5842" xr:uid="{00000000-0005-0000-0000-0000C8070000}"/>
    <cellStyle name="Comma 4 2 2 2 2 5 3 2" xfId="14284" xr:uid="{1554DE23-5D5A-428C-9A85-8F791262AE89}"/>
    <cellStyle name="Comma 4 2 2 2 2 5 4" xfId="10066" xr:uid="{3F8EF254-3830-453C-A471-F5108D3C2703}"/>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E77372B2-C215-4C4E-912D-CF1E787E07C0}"/>
    <cellStyle name="Comma 4 2 2 2 2 6 2 3" xfId="12624" xr:uid="{7C9F9F20-A34C-40E8-A222-641ADD71FB93}"/>
    <cellStyle name="Comma 4 2 2 2 2 6 3" xfId="6255" xr:uid="{00000000-0005-0000-0000-0000CC070000}"/>
    <cellStyle name="Comma 4 2 2 2 2 6 3 2" xfId="14697" xr:uid="{EEE1BDA2-0E3D-476D-9A3B-E8A1BC5BE922}"/>
    <cellStyle name="Comma 4 2 2 2 2 6 4" xfId="10479" xr:uid="{543DADA7-C686-4CD2-A716-6F37A8B3ABC7}"/>
    <cellStyle name="Comma 4 2 2 2 2 7" xfId="2383" xr:uid="{00000000-0005-0000-0000-0000CD070000}"/>
    <cellStyle name="Comma 4 2 2 2 2 7 2" xfId="6668" xr:uid="{00000000-0005-0000-0000-0000CE070000}"/>
    <cellStyle name="Comma 4 2 2 2 2 7 2 2" xfId="15110" xr:uid="{DE353AB3-A7F5-4E4F-BEDC-A7F71ED7E9B5}"/>
    <cellStyle name="Comma 4 2 2 2 2 7 3" xfId="10892" xr:uid="{81CD9FB5-0906-4919-AA7F-D06E9A85D494}"/>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86952DAD-0893-4927-BE86-97490761ED4E}"/>
    <cellStyle name="Comma 4 2 2 2 2 9 3" xfId="11209" xr:uid="{6CF28318-2A26-4C1E-B955-E7E1331C970E}"/>
    <cellStyle name="Comma 4 2 2 2 3" xfId="131" xr:uid="{00000000-0005-0000-0000-0000D2070000}"/>
    <cellStyle name="Comma 4 2 2 2 3 10" xfId="8828" xr:uid="{827EBF6E-E2B0-4816-953D-7986D8E9B797}"/>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3A16CF98-C008-4F94-AF49-3A55B8620BD2}"/>
    <cellStyle name="Comma 4 2 2 2 3 2 2 3" xfId="11387" xr:uid="{5EBA4262-3832-4202-8993-2AF2A421F876}"/>
    <cellStyle name="Comma 4 2 2 2 3 2 3" xfId="5018" xr:uid="{00000000-0005-0000-0000-0000D6070000}"/>
    <cellStyle name="Comma 4 2 2 2 3 2 3 2" xfId="13460" xr:uid="{1CE7AD50-FA26-476B-AD62-AD39FBB9AAD9}"/>
    <cellStyle name="Comma 4 2 2 2 3 2 4" xfId="9242" xr:uid="{A885D191-F293-4259-8A23-647DEEC4EE5E}"/>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DDC47ABC-89A5-4146-A1E9-2E008EC1AAC9}"/>
    <cellStyle name="Comma 4 2 2 2 3 3 2 3" xfId="11800" xr:uid="{1ED6EA1F-CF4C-458B-B467-9F70E99396C0}"/>
    <cellStyle name="Comma 4 2 2 2 3 3 3" xfId="5431" xr:uid="{00000000-0005-0000-0000-0000DA070000}"/>
    <cellStyle name="Comma 4 2 2 2 3 3 3 2" xfId="13873" xr:uid="{B4760262-BA22-4F6C-94E3-725D244EDF23}"/>
    <cellStyle name="Comma 4 2 2 2 3 3 4" xfId="9655" xr:uid="{03AF831D-6375-48C8-9015-3F185A21103B}"/>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F16FAC72-21BC-4F9A-A3B6-3B8E82FAEFA5}"/>
    <cellStyle name="Comma 4 2 2 2 3 4 2 3" xfId="12213" xr:uid="{FF60774E-6961-4CAB-A5BA-0D7E37700DC2}"/>
    <cellStyle name="Comma 4 2 2 2 3 4 3" xfId="5844" xr:uid="{00000000-0005-0000-0000-0000DE070000}"/>
    <cellStyle name="Comma 4 2 2 2 3 4 3 2" xfId="14286" xr:uid="{CFF9E505-9BD4-42CF-BC02-BDE36A32C537}"/>
    <cellStyle name="Comma 4 2 2 2 3 4 4" xfId="10068" xr:uid="{C22776A0-BCEA-4238-852F-B12DA979766B}"/>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13AF300A-8543-44B4-A5E9-77D68B3467CA}"/>
    <cellStyle name="Comma 4 2 2 2 3 5 2 3" xfId="12626" xr:uid="{07806B17-EC43-42C8-8307-9CA920B999DB}"/>
    <cellStyle name="Comma 4 2 2 2 3 5 3" xfId="6257" xr:uid="{00000000-0005-0000-0000-0000E2070000}"/>
    <cellStyle name="Comma 4 2 2 2 3 5 3 2" xfId="14699" xr:uid="{7327620D-D8A9-481F-81C2-DF9EF5EA0C53}"/>
    <cellStyle name="Comma 4 2 2 2 3 5 4" xfId="10481" xr:uid="{0F4B4B59-FF86-421D-94BA-CCE76982B238}"/>
    <cellStyle name="Comma 4 2 2 2 3 6" xfId="2385" xr:uid="{00000000-0005-0000-0000-0000E3070000}"/>
    <cellStyle name="Comma 4 2 2 2 3 6 2" xfId="6670" xr:uid="{00000000-0005-0000-0000-0000E4070000}"/>
    <cellStyle name="Comma 4 2 2 2 3 6 2 2" xfId="15112" xr:uid="{B1F067C9-22CC-47D2-9FCF-18078176F316}"/>
    <cellStyle name="Comma 4 2 2 2 3 6 3" xfId="10894" xr:uid="{E75D9D1D-5522-4E55-B4E2-AB204D5EA8BC}"/>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0673E86B-83A3-42DE-BB5B-B1E1B5CA6622}"/>
    <cellStyle name="Comma 4 2 2 2 3 8 3" xfId="11211" xr:uid="{C77FC89A-BE91-4005-ADEB-CB31C265A1CC}"/>
    <cellStyle name="Comma 4 2 2 2 3 9" xfId="4604" xr:uid="{00000000-0005-0000-0000-0000E8070000}"/>
    <cellStyle name="Comma 4 2 2 2 3 9 2" xfId="13046" xr:uid="{7B981475-32F0-4E65-B332-D7BB93DF4857}"/>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CC55198C-32AB-4A3E-91A5-9C66A25A16A8}"/>
    <cellStyle name="Comma 4 2 2 2 4 2 3" xfId="11384" xr:uid="{DFEBA423-A8F4-464D-8C4B-A58199A12BB4}"/>
    <cellStyle name="Comma 4 2 2 2 4 3" xfId="5015" xr:uid="{00000000-0005-0000-0000-0000EC070000}"/>
    <cellStyle name="Comma 4 2 2 2 4 3 2" xfId="13457" xr:uid="{E851BC48-E634-48B4-80DF-DED6F8C73713}"/>
    <cellStyle name="Comma 4 2 2 2 4 4" xfId="9239" xr:uid="{EFBAE192-3A3F-4180-8A26-0E708D363B26}"/>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1873600A-580F-4316-846F-1DC0C04EB454}"/>
    <cellStyle name="Comma 4 2 2 2 5 2 3" xfId="11797" xr:uid="{30E141F7-4C2C-42CE-9B88-C60DD1480688}"/>
    <cellStyle name="Comma 4 2 2 2 5 3" xfId="5428" xr:uid="{00000000-0005-0000-0000-0000F0070000}"/>
    <cellStyle name="Comma 4 2 2 2 5 3 2" xfId="13870" xr:uid="{EA599D59-6BF7-458B-8774-F2E2A1B94439}"/>
    <cellStyle name="Comma 4 2 2 2 5 4" xfId="9652" xr:uid="{1ADE35C1-C478-4323-924B-109C3927C245}"/>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8620DCE2-D4E9-4383-8422-DFA1BAC288FA}"/>
    <cellStyle name="Comma 4 2 2 2 6 2 3" xfId="12210" xr:uid="{9522D7A8-FB76-436E-9317-E154D7316DC6}"/>
    <cellStyle name="Comma 4 2 2 2 6 3" xfId="5841" xr:uid="{00000000-0005-0000-0000-0000F4070000}"/>
    <cellStyle name="Comma 4 2 2 2 6 3 2" xfId="14283" xr:uid="{59EECBD9-E44E-49CC-A68A-A2AF49754CC8}"/>
    <cellStyle name="Comma 4 2 2 2 6 4" xfId="10065" xr:uid="{0C095687-E2EA-46CD-AC5C-1813D1C686DB}"/>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23C68953-0732-4CA4-8E62-6BE75FDE6BB6}"/>
    <cellStyle name="Comma 4 2 2 2 7 2 3" xfId="12623" xr:uid="{3B024A2B-56DE-4F35-B186-3DCD4FC7711B}"/>
    <cellStyle name="Comma 4 2 2 2 7 3" xfId="6254" xr:uid="{00000000-0005-0000-0000-0000F8070000}"/>
    <cellStyle name="Comma 4 2 2 2 7 3 2" xfId="14696" xr:uid="{ACC40942-6693-4B50-B294-FF2074529887}"/>
    <cellStyle name="Comma 4 2 2 2 7 4" xfId="10478" xr:uid="{785640E7-CCF0-4177-8DCA-B4EC6C19C958}"/>
    <cellStyle name="Comma 4 2 2 2 8" xfId="2382" xr:uid="{00000000-0005-0000-0000-0000F9070000}"/>
    <cellStyle name="Comma 4 2 2 2 8 2" xfId="6667" xr:uid="{00000000-0005-0000-0000-0000FA070000}"/>
    <cellStyle name="Comma 4 2 2 2 8 2 2" xfId="15109" xr:uid="{4CEB2E8A-70C0-4222-B3A6-49B8200D6D1E}"/>
    <cellStyle name="Comma 4 2 2 2 8 3" xfId="10891" xr:uid="{465B8C0C-4F88-4731-869A-5E1B95351B0D}"/>
    <cellStyle name="Comma 4 2 2 2 9" xfId="2381" xr:uid="{00000000-0005-0000-0000-0000FB070000}"/>
    <cellStyle name="Comma 4 2 2 3" xfId="132" xr:uid="{00000000-0005-0000-0000-0000FC070000}"/>
    <cellStyle name="Comma 4 2 2 3 10" xfId="4605" xr:uid="{00000000-0005-0000-0000-0000FD070000}"/>
    <cellStyle name="Comma 4 2 2 3 10 2" xfId="13047" xr:uid="{E9872EEA-BAA2-4ABC-B05F-0EAADE30FE3F}"/>
    <cellStyle name="Comma 4 2 2 3 11" xfId="8829" xr:uid="{F680F788-6EA7-4A5A-8906-6E0145F41513}"/>
    <cellStyle name="Comma 4 2 2 3 2" xfId="133" xr:uid="{00000000-0005-0000-0000-0000FE070000}"/>
    <cellStyle name="Comma 4 2 2 3 2 10" xfId="8830" xr:uid="{7B6A6CC2-8F40-4F50-AB2B-B8E887668AD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9D4B7762-083C-43B5-9519-452E0993A1A8}"/>
    <cellStyle name="Comma 4 2 2 3 2 2 2 3" xfId="11389" xr:uid="{6572D892-7EF8-480E-8EFF-726F263D90DE}"/>
    <cellStyle name="Comma 4 2 2 3 2 2 3" xfId="5020" xr:uid="{00000000-0005-0000-0000-000002080000}"/>
    <cellStyle name="Comma 4 2 2 3 2 2 3 2" xfId="13462" xr:uid="{84E12A01-4C25-4C1C-8B78-04A5A0AF7347}"/>
    <cellStyle name="Comma 4 2 2 3 2 2 4" xfId="9244" xr:uid="{ACAC4545-D989-4B7C-8F6A-34A544CB75D7}"/>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4FC9F652-C708-45FA-8A1D-58E0EB0B0D9B}"/>
    <cellStyle name="Comma 4 2 2 3 2 3 2 3" xfId="11802" xr:uid="{C3C3E8A0-BAD3-41C2-85D7-B1013D0A65E7}"/>
    <cellStyle name="Comma 4 2 2 3 2 3 3" xfId="5433" xr:uid="{00000000-0005-0000-0000-000006080000}"/>
    <cellStyle name="Comma 4 2 2 3 2 3 3 2" xfId="13875" xr:uid="{D5F9B242-BB97-4ADC-BEA6-288EADC26C82}"/>
    <cellStyle name="Comma 4 2 2 3 2 3 4" xfId="9657" xr:uid="{54093073-0B0D-4F5F-AB76-3BD83E09E704}"/>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82D7E626-8316-4130-AED5-15913AB4D494}"/>
    <cellStyle name="Comma 4 2 2 3 2 4 2 3" xfId="12215" xr:uid="{F02588C9-41D7-4C7B-82E3-3604EC43F2B3}"/>
    <cellStyle name="Comma 4 2 2 3 2 4 3" xfId="5846" xr:uid="{00000000-0005-0000-0000-00000A080000}"/>
    <cellStyle name="Comma 4 2 2 3 2 4 3 2" xfId="14288" xr:uid="{10E1785B-0302-4E1A-9843-FB4D6B1E767A}"/>
    <cellStyle name="Comma 4 2 2 3 2 4 4" xfId="10070" xr:uid="{B965AFE3-ABF0-47CF-87CF-40087682F95F}"/>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E16C36A7-411F-49EC-862B-26A37BC3612F}"/>
    <cellStyle name="Comma 4 2 2 3 2 5 2 3" xfId="12628" xr:uid="{33AFB1C3-86B3-447C-A403-55B94483CB6C}"/>
    <cellStyle name="Comma 4 2 2 3 2 5 3" xfId="6259" xr:uid="{00000000-0005-0000-0000-00000E080000}"/>
    <cellStyle name="Comma 4 2 2 3 2 5 3 2" xfId="14701" xr:uid="{DEE30503-0000-4627-969F-319E924A2A81}"/>
    <cellStyle name="Comma 4 2 2 3 2 5 4" xfId="10483" xr:uid="{3FB5BCE1-78FB-40E4-9FEC-F2AE61CA44A7}"/>
    <cellStyle name="Comma 4 2 2 3 2 6" xfId="2387" xr:uid="{00000000-0005-0000-0000-00000F080000}"/>
    <cellStyle name="Comma 4 2 2 3 2 6 2" xfId="6672" xr:uid="{00000000-0005-0000-0000-000010080000}"/>
    <cellStyle name="Comma 4 2 2 3 2 6 2 2" xfId="15114" xr:uid="{4892EA26-4B20-41AF-98AF-B0DFE4DECF5B}"/>
    <cellStyle name="Comma 4 2 2 3 2 6 3" xfId="10896" xr:uid="{CCD75EDA-167A-406E-A94A-2731608396FD}"/>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02DC3634-DFEE-4EF1-8DFF-05588BF20886}"/>
    <cellStyle name="Comma 4 2 2 3 2 8 3" xfId="11213" xr:uid="{7AF4CB3E-6550-4A6E-B493-C70EDCD0E799}"/>
    <cellStyle name="Comma 4 2 2 3 2 9" xfId="4606" xr:uid="{00000000-0005-0000-0000-000014080000}"/>
    <cellStyle name="Comma 4 2 2 3 2 9 2" xfId="13048" xr:uid="{857A4848-6496-4AD4-B56D-1DA7481420AF}"/>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595A9F4D-E7C8-4B1C-B997-3F780748ED57}"/>
    <cellStyle name="Comma 4 2 2 3 3 2 3" xfId="11388" xr:uid="{11511E72-D9EF-4C61-873A-14C35F0F8DF9}"/>
    <cellStyle name="Comma 4 2 2 3 3 3" xfId="5019" xr:uid="{00000000-0005-0000-0000-000018080000}"/>
    <cellStyle name="Comma 4 2 2 3 3 3 2" xfId="13461" xr:uid="{183EA7DA-9B7A-4F2D-A00D-76AE6B34C9D5}"/>
    <cellStyle name="Comma 4 2 2 3 3 4" xfId="9243" xr:uid="{4FA52570-2B50-4ADC-9EBE-9F1311B6CF0C}"/>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374CF113-F0F9-4389-8F56-48AB294FEF88}"/>
    <cellStyle name="Comma 4 2 2 3 4 2 3" xfId="11801" xr:uid="{E2D9258E-EF7C-4582-BB1B-6F052698A2FE}"/>
    <cellStyle name="Comma 4 2 2 3 4 3" xfId="5432" xr:uid="{00000000-0005-0000-0000-00001C080000}"/>
    <cellStyle name="Comma 4 2 2 3 4 3 2" xfId="13874" xr:uid="{C6E35397-8302-4B67-B603-DE27FD5FD9A6}"/>
    <cellStyle name="Comma 4 2 2 3 4 4" xfId="9656" xr:uid="{77A2FDBA-991C-4596-B5FB-2C04E7A0AB41}"/>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0D60774F-EBBD-4C23-A604-EF1AA8124345}"/>
    <cellStyle name="Comma 4 2 2 3 5 2 3" xfId="12214" xr:uid="{0344E693-D985-45F8-939A-53DC167A0E67}"/>
    <cellStyle name="Comma 4 2 2 3 5 3" xfId="5845" xr:uid="{00000000-0005-0000-0000-000020080000}"/>
    <cellStyle name="Comma 4 2 2 3 5 3 2" xfId="14287" xr:uid="{672C169C-D4EE-4861-BED4-71EDEF1B1168}"/>
    <cellStyle name="Comma 4 2 2 3 5 4" xfId="10069" xr:uid="{944D420A-CA3F-42A1-A9FD-5AEDCD947DDC}"/>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777D2724-5362-42A0-932E-73B874B3F6B3}"/>
    <cellStyle name="Comma 4 2 2 3 6 2 3" xfId="12627" xr:uid="{36B4D0E1-7EFC-43FC-A71D-4AD7231894DD}"/>
    <cellStyle name="Comma 4 2 2 3 6 3" xfId="6258" xr:uid="{00000000-0005-0000-0000-000024080000}"/>
    <cellStyle name="Comma 4 2 2 3 6 3 2" xfId="14700" xr:uid="{27C7A3DE-C27F-4494-AD7A-980F7A5B145E}"/>
    <cellStyle name="Comma 4 2 2 3 6 4" xfId="10482" xr:uid="{8EF047B3-71C9-4D4C-B5E5-E8E8E369E520}"/>
    <cellStyle name="Comma 4 2 2 3 7" xfId="2386" xr:uid="{00000000-0005-0000-0000-000025080000}"/>
    <cellStyle name="Comma 4 2 2 3 7 2" xfId="6671" xr:uid="{00000000-0005-0000-0000-000026080000}"/>
    <cellStyle name="Comma 4 2 2 3 7 2 2" xfId="15113" xr:uid="{5B893130-6B24-4C86-9333-6D12E12D1838}"/>
    <cellStyle name="Comma 4 2 2 3 7 3" xfId="10895" xr:uid="{1C5984E4-88F4-434B-A600-AE99B9DB9D60}"/>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7E91BF1C-14CA-4E22-AC8A-9B8E7C7C56AE}"/>
    <cellStyle name="Comma 4 2 2 3 9 3" xfId="11212" xr:uid="{9E6E3B46-9075-45B7-9B5C-8828564BEA92}"/>
    <cellStyle name="Comma 4 2 2 4" xfId="134" xr:uid="{00000000-0005-0000-0000-00002A080000}"/>
    <cellStyle name="Comma 4 2 2 4 10" xfId="8831" xr:uid="{03962A87-46B8-4F6F-A091-4ACB7AD6D222}"/>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D69E2010-053E-4A11-93C8-9AB83E2CDAE7}"/>
    <cellStyle name="Comma 4 2 2 4 2 2 3" xfId="11390" xr:uid="{7B2063EE-93A9-4B6F-98F5-8316B07A92F2}"/>
    <cellStyle name="Comma 4 2 2 4 2 3" xfId="5021" xr:uid="{00000000-0005-0000-0000-00002E080000}"/>
    <cellStyle name="Comma 4 2 2 4 2 3 2" xfId="13463" xr:uid="{5045165C-2FA3-4147-B37E-130B236F550D}"/>
    <cellStyle name="Comma 4 2 2 4 2 4" xfId="9245" xr:uid="{747B18A2-BB2C-4F35-88A7-DEE529F5F8FA}"/>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815D0A80-E00C-482C-BA18-225197ABD0F6}"/>
    <cellStyle name="Comma 4 2 2 4 3 2 3" xfId="11803" xr:uid="{D1BEBA34-061D-490D-9E79-911A5C609C63}"/>
    <cellStyle name="Comma 4 2 2 4 3 3" xfId="5434" xr:uid="{00000000-0005-0000-0000-000032080000}"/>
    <cellStyle name="Comma 4 2 2 4 3 3 2" xfId="13876" xr:uid="{7DA27146-0AE5-4A1B-9044-31743028C1CC}"/>
    <cellStyle name="Comma 4 2 2 4 3 4" xfId="9658" xr:uid="{4D24FFA6-DD12-4FFA-B2E9-7616B03650AA}"/>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758C7E8B-0EC0-42BD-B498-48C04F6A3D79}"/>
    <cellStyle name="Comma 4 2 2 4 4 2 3" xfId="12216" xr:uid="{629ED31F-7BA2-4BEF-AAE8-EBDD2DB09020}"/>
    <cellStyle name="Comma 4 2 2 4 4 3" xfId="5847" xr:uid="{00000000-0005-0000-0000-000036080000}"/>
    <cellStyle name="Comma 4 2 2 4 4 3 2" xfId="14289" xr:uid="{0FACB178-FC5D-419A-8ECB-DEBF95FAEDFE}"/>
    <cellStyle name="Comma 4 2 2 4 4 4" xfId="10071" xr:uid="{878B0C58-D3D1-4395-8985-2ABB95B0AAFF}"/>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7287222A-A29C-4D97-94CC-4AF1B9C8E442}"/>
    <cellStyle name="Comma 4 2 2 4 5 2 3" xfId="12629" xr:uid="{27770BE2-F8D3-4BAC-840C-72B0568C8A0B}"/>
    <cellStyle name="Comma 4 2 2 4 5 3" xfId="6260" xr:uid="{00000000-0005-0000-0000-00003A080000}"/>
    <cellStyle name="Comma 4 2 2 4 5 3 2" xfId="14702" xr:uid="{3DA2F24F-7EF7-418A-B875-9C3381014017}"/>
    <cellStyle name="Comma 4 2 2 4 5 4" xfId="10484" xr:uid="{A8FCC828-FE03-4F0C-A56D-6A43B4E7BE3B}"/>
    <cellStyle name="Comma 4 2 2 4 6" xfId="2388" xr:uid="{00000000-0005-0000-0000-00003B080000}"/>
    <cellStyle name="Comma 4 2 2 4 6 2" xfId="6673" xr:uid="{00000000-0005-0000-0000-00003C080000}"/>
    <cellStyle name="Comma 4 2 2 4 6 2 2" xfId="15115" xr:uid="{7F83AAA9-CC27-4091-BEA4-212B052A5F35}"/>
    <cellStyle name="Comma 4 2 2 4 6 3" xfId="10897" xr:uid="{6501E6E6-48E7-4B82-B441-FA22C47C49A4}"/>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76F3168C-C597-416D-8342-AD4E2EB78F3D}"/>
    <cellStyle name="Comma 4 2 2 4 8 3" xfId="11214" xr:uid="{AA1427BE-6B0C-4741-AB92-39FB83313C7E}"/>
    <cellStyle name="Comma 4 2 2 4 9" xfId="4607" xr:uid="{00000000-0005-0000-0000-000040080000}"/>
    <cellStyle name="Comma 4 2 2 4 9 2" xfId="13049" xr:uid="{9066FA83-3771-4C0E-8F3E-7F4D994EC9F6}"/>
    <cellStyle name="Comma 4 2 2 5" xfId="135" xr:uid="{00000000-0005-0000-0000-000041080000}"/>
    <cellStyle name="Comma 4 2 2 5 10" xfId="8832" xr:uid="{BE19D966-B012-493A-95DB-1EFE6A82CE89}"/>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3DE79D65-F564-41E5-BD81-6A55DC3B6ED5}"/>
    <cellStyle name="Comma 4 2 2 5 2 2 3" xfId="11391" xr:uid="{605E7BC4-40D5-4682-ACFA-8E9EECD9C06C}"/>
    <cellStyle name="Comma 4 2 2 5 2 3" xfId="5022" xr:uid="{00000000-0005-0000-0000-000045080000}"/>
    <cellStyle name="Comma 4 2 2 5 2 3 2" xfId="13464" xr:uid="{111BF01E-F89D-4694-8D7C-7A4BE6B9619B}"/>
    <cellStyle name="Comma 4 2 2 5 2 4" xfId="9246" xr:uid="{9B8803D5-DD1F-45C7-869F-9B4B2C994F31}"/>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C432C29F-7652-4D3C-A436-54CA3F94272D}"/>
    <cellStyle name="Comma 4 2 2 5 3 2 3" xfId="11804" xr:uid="{7DE91848-9528-4CC2-A779-47DA7E4D08B7}"/>
    <cellStyle name="Comma 4 2 2 5 3 3" xfId="5435" xr:uid="{00000000-0005-0000-0000-000049080000}"/>
    <cellStyle name="Comma 4 2 2 5 3 3 2" xfId="13877" xr:uid="{81E58CC2-4D85-43F4-80CB-86A14F48B6D3}"/>
    <cellStyle name="Comma 4 2 2 5 3 4" xfId="9659" xr:uid="{7297EA0B-B334-4BF9-89C8-D28607CE3B6B}"/>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8F59101A-117B-40A5-A24B-24108DF1CFCB}"/>
    <cellStyle name="Comma 4 2 2 5 4 2 3" xfId="12217" xr:uid="{60E36592-37EA-407F-BEAD-97FDC69C5F3B}"/>
    <cellStyle name="Comma 4 2 2 5 4 3" xfId="5848" xr:uid="{00000000-0005-0000-0000-00004D080000}"/>
    <cellStyle name="Comma 4 2 2 5 4 3 2" xfId="14290" xr:uid="{C2FA46FF-A0FF-4160-B969-CF9D5258E290}"/>
    <cellStyle name="Comma 4 2 2 5 4 4" xfId="10072" xr:uid="{9500B694-EC25-4F4E-9E9F-9404D95DB46F}"/>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7B92B8AE-499D-44C4-95A4-944E912E9146}"/>
    <cellStyle name="Comma 4 2 2 5 5 2 3" xfId="12630" xr:uid="{46E99512-5691-484C-9CF1-705A23DF5B6C}"/>
    <cellStyle name="Comma 4 2 2 5 5 3" xfId="6261" xr:uid="{00000000-0005-0000-0000-000051080000}"/>
    <cellStyle name="Comma 4 2 2 5 5 3 2" xfId="14703" xr:uid="{E9625F21-DBA9-4D3F-83C7-48C6A5281877}"/>
    <cellStyle name="Comma 4 2 2 5 5 4" xfId="10485" xr:uid="{17079120-CFA0-4068-874F-4123F465FDF5}"/>
    <cellStyle name="Comma 4 2 2 5 6" xfId="2389" xr:uid="{00000000-0005-0000-0000-000052080000}"/>
    <cellStyle name="Comma 4 2 2 5 6 2" xfId="6674" xr:uid="{00000000-0005-0000-0000-000053080000}"/>
    <cellStyle name="Comma 4 2 2 5 6 2 2" xfId="15116" xr:uid="{A835C9AF-1648-4803-8761-151F413527F9}"/>
    <cellStyle name="Comma 4 2 2 5 6 3" xfId="10898" xr:uid="{041D2390-11A5-4377-8089-BB709E4389FE}"/>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D56DA8EA-970B-4BD6-BD49-65EE27942AC9}"/>
    <cellStyle name="Comma 4 2 2 5 8 3" xfId="11215" xr:uid="{C7B8DB45-1675-43FC-999B-C98D427F8769}"/>
    <cellStyle name="Comma 4 2 2 5 9" xfId="4608" xr:uid="{00000000-0005-0000-0000-000057080000}"/>
    <cellStyle name="Comma 4 2 2 5 9 2" xfId="13050" xr:uid="{4D127AC1-5EBF-4326-9EC8-F91905B4CC4E}"/>
    <cellStyle name="Comma 4 2 3" xfId="136" xr:uid="{00000000-0005-0000-0000-000058080000}"/>
    <cellStyle name="Comma 4 2 3 10" xfId="2768" xr:uid="{00000000-0005-0000-0000-000059080000}"/>
    <cellStyle name="Comma 4 2 3 10 2" xfId="6992" xr:uid="{00000000-0005-0000-0000-00005A080000}"/>
    <cellStyle name="Comma 4 2 3 10 2 2" xfId="15434" xr:uid="{44E3E642-85E1-4CC7-B88B-3EB6B7590B13}"/>
    <cellStyle name="Comma 4 2 3 10 3" xfId="11216" xr:uid="{8EE8AD6C-DF83-42F5-8BC4-43E012E18E5E}"/>
    <cellStyle name="Comma 4 2 3 11" xfId="4609" xr:uid="{00000000-0005-0000-0000-00005B080000}"/>
    <cellStyle name="Comma 4 2 3 11 2" xfId="13051" xr:uid="{158E54F1-FC7F-435B-9059-C9F7E950B1C6}"/>
    <cellStyle name="Comma 4 2 3 12" xfId="8833" xr:uid="{BAFF230A-FA72-4F52-B508-17DAB519F8A5}"/>
    <cellStyle name="Comma 4 2 3 2" xfId="137" xr:uid="{00000000-0005-0000-0000-00005C080000}"/>
    <cellStyle name="Comma 4 2 3 2 10" xfId="4610" xr:uid="{00000000-0005-0000-0000-00005D080000}"/>
    <cellStyle name="Comma 4 2 3 2 10 2" xfId="13052" xr:uid="{7E963D50-DCE0-49FF-AC09-960F45410807}"/>
    <cellStyle name="Comma 4 2 3 2 11" xfId="8834" xr:uid="{DF5929C1-75CA-42C8-9533-87799441F98B}"/>
    <cellStyle name="Comma 4 2 3 2 2" xfId="138" xr:uid="{00000000-0005-0000-0000-00005E080000}"/>
    <cellStyle name="Comma 4 2 3 2 2 10" xfId="8835" xr:uid="{447F4802-D1FC-4CC0-ACAF-187A1A391C56}"/>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9FE59290-4DE6-4B1E-8E59-6164EFC21E84}"/>
    <cellStyle name="Comma 4 2 3 2 2 2 2 3" xfId="11394" xr:uid="{F83911FB-7F44-4C2E-B855-D426B5503974}"/>
    <cellStyle name="Comma 4 2 3 2 2 2 3" xfId="5025" xr:uid="{00000000-0005-0000-0000-000062080000}"/>
    <cellStyle name="Comma 4 2 3 2 2 2 3 2" xfId="13467" xr:uid="{9E328510-1903-42E2-833E-42E2FBC67142}"/>
    <cellStyle name="Comma 4 2 3 2 2 2 4" xfId="9249" xr:uid="{47D6FC1F-0268-462D-B0AE-071CDD763249}"/>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BD60CCE1-8C37-41CD-A8A5-A1E4A197B11D}"/>
    <cellStyle name="Comma 4 2 3 2 2 3 2 3" xfId="11807" xr:uid="{128AEAB7-2411-4320-A198-8FACD80FFCB7}"/>
    <cellStyle name="Comma 4 2 3 2 2 3 3" xfId="5438" xr:uid="{00000000-0005-0000-0000-000066080000}"/>
    <cellStyle name="Comma 4 2 3 2 2 3 3 2" xfId="13880" xr:uid="{872695D4-33A9-4265-9AE9-917EC2A44510}"/>
    <cellStyle name="Comma 4 2 3 2 2 3 4" xfId="9662" xr:uid="{1E63CAFA-4FF5-4714-AAA5-9D17F01ACA11}"/>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FDE838DD-8F39-4F10-8C3B-77454F294EFE}"/>
    <cellStyle name="Comma 4 2 3 2 2 4 2 3" xfId="12220" xr:uid="{8F0C4174-4A20-4EEE-B608-83082937702A}"/>
    <cellStyle name="Comma 4 2 3 2 2 4 3" xfId="5851" xr:uid="{00000000-0005-0000-0000-00006A080000}"/>
    <cellStyle name="Comma 4 2 3 2 2 4 3 2" xfId="14293" xr:uid="{56074CB6-381E-4662-8AAA-7A9A61974EFB}"/>
    <cellStyle name="Comma 4 2 3 2 2 4 4" xfId="10075" xr:uid="{9FCE0A5F-B9C2-49D1-AE9A-1A7313E5DF5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0C0CFC3E-F854-4AC5-85B8-5625FA63D713}"/>
    <cellStyle name="Comma 4 2 3 2 2 5 2 3" xfId="12633" xr:uid="{1BA74CC9-B4CC-4049-A067-1E4458489CBB}"/>
    <cellStyle name="Comma 4 2 3 2 2 5 3" xfId="6264" xr:uid="{00000000-0005-0000-0000-00006E080000}"/>
    <cellStyle name="Comma 4 2 3 2 2 5 3 2" xfId="14706" xr:uid="{F5596D01-FF4E-4F54-B022-B3DE73A5A969}"/>
    <cellStyle name="Comma 4 2 3 2 2 5 4" xfId="10488" xr:uid="{888CC7A8-7C34-46A8-AD9A-4348E21E7E5A}"/>
    <cellStyle name="Comma 4 2 3 2 2 6" xfId="2392" xr:uid="{00000000-0005-0000-0000-00006F080000}"/>
    <cellStyle name="Comma 4 2 3 2 2 6 2" xfId="6677" xr:uid="{00000000-0005-0000-0000-000070080000}"/>
    <cellStyle name="Comma 4 2 3 2 2 6 2 2" xfId="15119" xr:uid="{8E4089C1-343A-4C51-8F24-60FFF58E0EDB}"/>
    <cellStyle name="Comma 4 2 3 2 2 6 3" xfId="10901" xr:uid="{117D55EE-609A-4A20-8A99-84349705DBAB}"/>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8003CCCB-7C7E-4A43-8699-172DD452D72B}"/>
    <cellStyle name="Comma 4 2 3 2 2 8 3" xfId="11218" xr:uid="{348E7D62-A782-4EF0-9B1C-9367F1EC628B}"/>
    <cellStyle name="Comma 4 2 3 2 2 9" xfId="4611" xr:uid="{00000000-0005-0000-0000-000074080000}"/>
    <cellStyle name="Comma 4 2 3 2 2 9 2" xfId="13053" xr:uid="{ED19EFA6-7316-4DEA-85B9-095DDFADDDD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E79B9F43-4E5E-459D-9750-263DB95642B9}"/>
    <cellStyle name="Comma 4 2 3 2 3 2 3" xfId="11393" xr:uid="{4F11401D-B164-427A-A2B1-63915B326EF6}"/>
    <cellStyle name="Comma 4 2 3 2 3 3" xfId="5024" xr:uid="{00000000-0005-0000-0000-000078080000}"/>
    <cellStyle name="Comma 4 2 3 2 3 3 2" xfId="13466" xr:uid="{079CC5DC-B6CB-41FA-AB3F-65789640196E}"/>
    <cellStyle name="Comma 4 2 3 2 3 4" xfId="9248" xr:uid="{09892187-7328-46D1-9F08-39BB9943510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1816449B-F5EE-4E44-92E7-74521B3A05A5}"/>
    <cellStyle name="Comma 4 2 3 2 4 2 3" xfId="11806" xr:uid="{383E828F-3691-48C4-8D1E-EBF2C99CB4FF}"/>
    <cellStyle name="Comma 4 2 3 2 4 3" xfId="5437" xr:uid="{00000000-0005-0000-0000-00007C080000}"/>
    <cellStyle name="Comma 4 2 3 2 4 3 2" xfId="13879" xr:uid="{5DB8D373-9C7D-42D2-AC23-7559775AB7CB}"/>
    <cellStyle name="Comma 4 2 3 2 4 4" xfId="9661" xr:uid="{1FB84021-ADCD-4860-86B4-3E3B38455BC1}"/>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D4138BBD-A2DD-432F-B3EE-CF77C65DD4B0}"/>
    <cellStyle name="Comma 4 2 3 2 5 2 3" xfId="12219" xr:uid="{8AED6A56-AB98-4CE8-8124-628D8C4420F2}"/>
    <cellStyle name="Comma 4 2 3 2 5 3" xfId="5850" xr:uid="{00000000-0005-0000-0000-000080080000}"/>
    <cellStyle name="Comma 4 2 3 2 5 3 2" xfId="14292" xr:uid="{165EA533-2650-4C0E-B6B3-5C02E95D7F00}"/>
    <cellStyle name="Comma 4 2 3 2 5 4" xfId="10074" xr:uid="{490AFDD4-3D2D-40E3-95CB-2B3E237D183E}"/>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E8A3031F-8140-4D8D-9672-26A64EF9631B}"/>
    <cellStyle name="Comma 4 2 3 2 6 2 3" xfId="12632" xr:uid="{DA8072CF-9147-4F75-99C5-5DFDD2A52D17}"/>
    <cellStyle name="Comma 4 2 3 2 6 3" xfId="6263" xr:uid="{00000000-0005-0000-0000-000084080000}"/>
    <cellStyle name="Comma 4 2 3 2 6 3 2" xfId="14705" xr:uid="{3C74C8A1-5A41-43AF-AF97-B6553F1CF065}"/>
    <cellStyle name="Comma 4 2 3 2 6 4" xfId="10487" xr:uid="{F9761A23-09A7-4AE2-9892-0A4A716E8B55}"/>
    <cellStyle name="Comma 4 2 3 2 7" xfId="2391" xr:uid="{00000000-0005-0000-0000-000085080000}"/>
    <cellStyle name="Comma 4 2 3 2 7 2" xfId="6676" xr:uid="{00000000-0005-0000-0000-000086080000}"/>
    <cellStyle name="Comma 4 2 3 2 7 2 2" xfId="15118" xr:uid="{8757A168-82A9-416C-8C5D-402420EC4E47}"/>
    <cellStyle name="Comma 4 2 3 2 7 3" xfId="10900" xr:uid="{D71CA534-99A3-46AA-B893-0F5396FB15AD}"/>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5B300364-DFE4-4095-B972-978B6DE20C5E}"/>
    <cellStyle name="Comma 4 2 3 2 9 3" xfId="11217" xr:uid="{02A407D7-D019-4447-9D50-018E61A95B7B}"/>
    <cellStyle name="Comma 4 2 3 3" xfId="139" xr:uid="{00000000-0005-0000-0000-00008A080000}"/>
    <cellStyle name="Comma 4 2 3 3 10" xfId="8836" xr:uid="{AAA9519A-FB0E-4C26-B6F9-5BA440050A99}"/>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D8C4ED6F-BDFA-4AE9-92ED-413B60CC53D1}"/>
    <cellStyle name="Comma 4 2 3 3 2 2 3" xfId="11395" xr:uid="{B77319FC-2247-45A9-86EF-8E867FDD70C2}"/>
    <cellStyle name="Comma 4 2 3 3 2 3" xfId="5026" xr:uid="{00000000-0005-0000-0000-00008E080000}"/>
    <cellStyle name="Comma 4 2 3 3 2 3 2" xfId="13468" xr:uid="{A1B42860-DA85-4253-AD3C-C8404D25686F}"/>
    <cellStyle name="Comma 4 2 3 3 2 4" xfId="9250" xr:uid="{296B9B95-E079-4A20-BD44-64C9DB1F1EB3}"/>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9B6B451D-3300-49DF-A8FD-F3B339EFC371}"/>
    <cellStyle name="Comma 4 2 3 3 3 2 3" xfId="11808" xr:uid="{DA5851BA-6374-4DB0-B3E1-02C095A7A60D}"/>
    <cellStyle name="Comma 4 2 3 3 3 3" xfId="5439" xr:uid="{00000000-0005-0000-0000-000092080000}"/>
    <cellStyle name="Comma 4 2 3 3 3 3 2" xfId="13881" xr:uid="{85AF5A46-1878-4D50-B63C-FBD25ECA38BC}"/>
    <cellStyle name="Comma 4 2 3 3 3 4" xfId="9663" xr:uid="{03880D95-B173-400E-A8A8-05433E499DD6}"/>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B78C2763-49D9-4C33-BB44-E1B4BA7326EC}"/>
    <cellStyle name="Comma 4 2 3 3 4 2 3" xfId="12221" xr:uid="{0834F602-1E45-445A-B36C-39FC144818DA}"/>
    <cellStyle name="Comma 4 2 3 3 4 3" xfId="5852" xr:uid="{00000000-0005-0000-0000-000096080000}"/>
    <cellStyle name="Comma 4 2 3 3 4 3 2" xfId="14294" xr:uid="{0287C19A-1D31-4931-8622-F341B89A1D25}"/>
    <cellStyle name="Comma 4 2 3 3 4 4" xfId="10076" xr:uid="{8445C34F-070E-4B87-A53C-13480A2B412C}"/>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63676EE4-8CE1-4000-AE4C-1E92C6009275}"/>
    <cellStyle name="Comma 4 2 3 3 5 2 3" xfId="12634" xr:uid="{A78FDAC9-8D13-438F-BB07-4386B73D1567}"/>
    <cellStyle name="Comma 4 2 3 3 5 3" xfId="6265" xr:uid="{00000000-0005-0000-0000-00009A080000}"/>
    <cellStyle name="Comma 4 2 3 3 5 3 2" xfId="14707" xr:uid="{1E2E6ADC-D21A-4C08-A7A0-F696AD588057}"/>
    <cellStyle name="Comma 4 2 3 3 5 4" xfId="10489" xr:uid="{EE8EB311-4939-4EFE-94C2-2486682189B7}"/>
    <cellStyle name="Comma 4 2 3 3 6" xfId="2393" xr:uid="{00000000-0005-0000-0000-00009B080000}"/>
    <cellStyle name="Comma 4 2 3 3 6 2" xfId="6678" xr:uid="{00000000-0005-0000-0000-00009C080000}"/>
    <cellStyle name="Comma 4 2 3 3 6 2 2" xfId="15120" xr:uid="{3C103C9E-A581-4600-BDEE-F61800A8DCA5}"/>
    <cellStyle name="Comma 4 2 3 3 6 3" xfId="10902" xr:uid="{8105E137-6660-424D-ADB2-C5C996F9E4EA}"/>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0ED014AF-924E-454D-8524-905D2579D361}"/>
    <cellStyle name="Comma 4 2 3 3 8 3" xfId="11219" xr:uid="{295E04ED-74CA-42C9-967D-5233B489F5A4}"/>
    <cellStyle name="Comma 4 2 3 3 9" xfId="4612" xr:uid="{00000000-0005-0000-0000-0000A0080000}"/>
    <cellStyle name="Comma 4 2 3 3 9 2" xfId="13054" xr:uid="{666B5E81-510E-407D-9939-6F4E6DD48C09}"/>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5EB1F1CC-843C-4B02-A882-D5B50298DEAA}"/>
    <cellStyle name="Comma 4 2 3 4 2 3" xfId="11392" xr:uid="{F215FDD6-3F87-4EA8-88ED-A8C3047884B2}"/>
    <cellStyle name="Comma 4 2 3 4 3" xfId="5023" xr:uid="{00000000-0005-0000-0000-0000A4080000}"/>
    <cellStyle name="Comma 4 2 3 4 3 2" xfId="13465" xr:uid="{FC2F8301-C734-4660-AF99-A1DF8893091C}"/>
    <cellStyle name="Comma 4 2 3 4 4" xfId="9247" xr:uid="{950274DF-D762-4772-803D-773FF853F23A}"/>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D7C7F279-8A16-44AF-A1CD-5665B8153BC1}"/>
    <cellStyle name="Comma 4 2 3 5 2 3" xfId="11805" xr:uid="{7CF48B54-B935-4747-9BEE-5F38DB42E9F0}"/>
    <cellStyle name="Comma 4 2 3 5 3" xfId="5436" xr:uid="{00000000-0005-0000-0000-0000A8080000}"/>
    <cellStyle name="Comma 4 2 3 5 3 2" xfId="13878" xr:uid="{2B6A307B-760E-4817-9658-48894F090FC9}"/>
    <cellStyle name="Comma 4 2 3 5 4" xfId="9660" xr:uid="{E69A686C-8455-474D-878C-D6AA19371A90}"/>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132B59F4-E232-4B67-951A-0CE62EB79A29}"/>
    <cellStyle name="Comma 4 2 3 6 2 3" xfId="12218" xr:uid="{0B746525-44EF-4F29-A53B-0AB53C6D3F94}"/>
    <cellStyle name="Comma 4 2 3 6 3" xfId="5849" xr:uid="{00000000-0005-0000-0000-0000AC080000}"/>
    <cellStyle name="Comma 4 2 3 6 3 2" xfId="14291" xr:uid="{FC42732B-D6CB-420F-8285-96DA234BA523}"/>
    <cellStyle name="Comma 4 2 3 6 4" xfId="10073" xr:uid="{E059CEB7-ED2C-4C76-AA6A-5359EE74394F}"/>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88BE97F9-74E2-44E5-ACD2-5AADA0F96F64}"/>
    <cellStyle name="Comma 4 2 3 7 2 3" xfId="12631" xr:uid="{DE4085F6-9C5F-4B01-91C8-624CB28281BA}"/>
    <cellStyle name="Comma 4 2 3 7 3" xfId="6262" xr:uid="{00000000-0005-0000-0000-0000B0080000}"/>
    <cellStyle name="Comma 4 2 3 7 3 2" xfId="14704" xr:uid="{BEF3E5FA-9BAF-468E-B466-B802FE40E7F8}"/>
    <cellStyle name="Comma 4 2 3 7 4" xfId="10486" xr:uid="{4E5EDF02-C1AD-49C8-8C38-EE6585751E49}"/>
    <cellStyle name="Comma 4 2 3 8" xfId="2390" xr:uid="{00000000-0005-0000-0000-0000B1080000}"/>
    <cellStyle name="Comma 4 2 3 8 2" xfId="6675" xr:uid="{00000000-0005-0000-0000-0000B2080000}"/>
    <cellStyle name="Comma 4 2 3 8 2 2" xfId="15117" xr:uid="{E835CF6B-5A1B-4CB5-A663-A6DB3E38548C}"/>
    <cellStyle name="Comma 4 2 3 8 3" xfId="10899" xr:uid="{2C7A68C1-8A6C-4EEA-AFB3-4B7AA2CF5416}"/>
    <cellStyle name="Comma 4 2 3 9" xfId="2373" xr:uid="{00000000-0005-0000-0000-0000B3080000}"/>
    <cellStyle name="Comma 4 2 4" xfId="140" xr:uid="{00000000-0005-0000-0000-0000B4080000}"/>
    <cellStyle name="Comma 4 2 4 10" xfId="4613" xr:uid="{00000000-0005-0000-0000-0000B5080000}"/>
    <cellStyle name="Comma 4 2 4 10 2" xfId="13055" xr:uid="{D6F587CD-80DE-4509-9ABB-3261AFEBA591}"/>
    <cellStyle name="Comma 4 2 4 11" xfId="8837" xr:uid="{8FDF36A2-753F-4350-9BD0-91DB5BF79231}"/>
    <cellStyle name="Comma 4 2 4 2" xfId="141" xr:uid="{00000000-0005-0000-0000-0000B6080000}"/>
    <cellStyle name="Comma 4 2 4 2 10" xfId="8838" xr:uid="{86C3300D-651F-49B7-B808-6A8C0ABED66C}"/>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8FC699C7-04C7-461D-9560-9580E6F71662}"/>
    <cellStyle name="Comma 4 2 4 2 2 2 3" xfId="11397" xr:uid="{B0AB7CDB-0D9E-4D3C-9960-2F7EE77ED78E}"/>
    <cellStyle name="Comma 4 2 4 2 2 3" xfId="5028" xr:uid="{00000000-0005-0000-0000-0000BA080000}"/>
    <cellStyle name="Comma 4 2 4 2 2 3 2" xfId="13470" xr:uid="{A3D7D99B-4C96-4919-98D8-BE8C9E01FEB9}"/>
    <cellStyle name="Comma 4 2 4 2 2 4" xfId="9252" xr:uid="{5157DE88-C065-4CA8-910B-6FABDEBC37D1}"/>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AC65FCD7-6FB2-4E82-9176-658EAAC83547}"/>
    <cellStyle name="Comma 4 2 4 2 3 2 3" xfId="11810" xr:uid="{7BFDDBBA-F8FC-49E5-B9A6-D3C043A7AFAC}"/>
    <cellStyle name="Comma 4 2 4 2 3 3" xfId="5441" xr:uid="{00000000-0005-0000-0000-0000BE080000}"/>
    <cellStyle name="Comma 4 2 4 2 3 3 2" xfId="13883" xr:uid="{0FBDBA31-A94D-45CB-8F23-882E807F9EBB}"/>
    <cellStyle name="Comma 4 2 4 2 3 4" xfId="9665" xr:uid="{25850C7C-6155-4B95-A14F-BA4D27FCFE54}"/>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2321DB54-E66E-411F-878D-66EA9DDC2EC7}"/>
    <cellStyle name="Comma 4 2 4 2 4 2 3" xfId="12223" xr:uid="{BCFBEDE9-78B6-4A55-8926-67CE303BC6D2}"/>
    <cellStyle name="Comma 4 2 4 2 4 3" xfId="5854" xr:uid="{00000000-0005-0000-0000-0000C2080000}"/>
    <cellStyle name="Comma 4 2 4 2 4 3 2" xfId="14296" xr:uid="{DECD6B16-6612-469C-9EC3-F44F43AD7A43}"/>
    <cellStyle name="Comma 4 2 4 2 4 4" xfId="10078" xr:uid="{463125AB-69F6-4F90-8971-1B868A4E4CC0}"/>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E9153B07-EA64-42A8-BC47-26F0B7768BE7}"/>
    <cellStyle name="Comma 4 2 4 2 5 2 3" xfId="12636" xr:uid="{0517A128-A32C-4046-A733-77D31AB66B37}"/>
    <cellStyle name="Comma 4 2 4 2 5 3" xfId="6267" xr:uid="{00000000-0005-0000-0000-0000C6080000}"/>
    <cellStyle name="Comma 4 2 4 2 5 3 2" xfId="14709" xr:uid="{293D3B90-83C5-440B-9B6B-6EFAEF4FAC9A}"/>
    <cellStyle name="Comma 4 2 4 2 5 4" xfId="10491" xr:uid="{82A116EB-1660-4EDD-8FD1-D6E01F87067F}"/>
    <cellStyle name="Comma 4 2 4 2 6" xfId="2395" xr:uid="{00000000-0005-0000-0000-0000C7080000}"/>
    <cellStyle name="Comma 4 2 4 2 6 2" xfId="6680" xr:uid="{00000000-0005-0000-0000-0000C8080000}"/>
    <cellStyle name="Comma 4 2 4 2 6 2 2" xfId="15122" xr:uid="{875CD149-86E3-4202-AEF3-DB309A87E2F7}"/>
    <cellStyle name="Comma 4 2 4 2 6 3" xfId="10904" xr:uid="{72DA894B-56B3-4FEF-A575-37D34B7857BA}"/>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5F49747E-BEEB-455D-AF56-28E98CEBD3AE}"/>
    <cellStyle name="Comma 4 2 4 2 8 3" xfId="11221" xr:uid="{7A710854-E54D-43D9-99E2-86D5A4F9ED05}"/>
    <cellStyle name="Comma 4 2 4 2 9" xfId="4614" xr:uid="{00000000-0005-0000-0000-0000CC080000}"/>
    <cellStyle name="Comma 4 2 4 2 9 2" xfId="13056" xr:uid="{02E47F09-1BD2-4B34-A4E9-306F237BC66D}"/>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5FFF7B6D-978F-4F29-86CA-7F7B85ABEC1D}"/>
    <cellStyle name="Comma 4 2 4 3 2 3" xfId="11396" xr:uid="{4D0E02FB-A917-45E2-A76B-A3CF3112D85B}"/>
    <cellStyle name="Comma 4 2 4 3 3" xfId="5027" xr:uid="{00000000-0005-0000-0000-0000D0080000}"/>
    <cellStyle name="Comma 4 2 4 3 3 2" xfId="13469" xr:uid="{DF198B4C-C0DC-4BAF-8CD6-39BA2E52CD52}"/>
    <cellStyle name="Comma 4 2 4 3 4" xfId="9251" xr:uid="{97559D94-84B7-43EA-9609-B572456E8D34}"/>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84B1C290-3A51-465A-9041-5DDE4120EFEE}"/>
    <cellStyle name="Comma 4 2 4 4 2 3" xfId="11809" xr:uid="{A5320981-C6C1-4B2F-973A-7A0E88198D87}"/>
    <cellStyle name="Comma 4 2 4 4 3" xfId="5440" xr:uid="{00000000-0005-0000-0000-0000D4080000}"/>
    <cellStyle name="Comma 4 2 4 4 3 2" xfId="13882" xr:uid="{7AAD39D7-4389-447A-8690-C376734E2E14}"/>
    <cellStyle name="Comma 4 2 4 4 4" xfId="9664" xr:uid="{C902A8A5-CB64-42E1-A047-B5618906DBF6}"/>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7EFFB92D-5A16-437F-A502-CBEA609F763A}"/>
    <cellStyle name="Comma 4 2 4 5 2 3" xfId="12222" xr:uid="{488E995A-44C0-485C-AEB1-1854BB6E040C}"/>
    <cellStyle name="Comma 4 2 4 5 3" xfId="5853" xr:uid="{00000000-0005-0000-0000-0000D8080000}"/>
    <cellStyle name="Comma 4 2 4 5 3 2" xfId="14295" xr:uid="{08F3083E-4FF3-4107-9E4B-80BF8EBDCB2B}"/>
    <cellStyle name="Comma 4 2 4 5 4" xfId="10077" xr:uid="{85B083E2-821D-48ED-87E7-DC568C8138C4}"/>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6E82C21E-33ED-4FBD-ACCA-35F2F0894AF3}"/>
    <cellStyle name="Comma 4 2 4 6 2 3" xfId="12635" xr:uid="{A5CC7920-CE34-4737-AF97-F2A94CAC3DB8}"/>
    <cellStyle name="Comma 4 2 4 6 3" xfId="6266" xr:uid="{00000000-0005-0000-0000-0000DC080000}"/>
    <cellStyle name="Comma 4 2 4 6 3 2" xfId="14708" xr:uid="{702044B4-B726-4500-97C3-7BC23FAE9F0A}"/>
    <cellStyle name="Comma 4 2 4 6 4" xfId="10490" xr:uid="{BE28BF45-52E5-411A-B3E9-FF475A86ECB1}"/>
    <cellStyle name="Comma 4 2 4 7" xfId="2394" xr:uid="{00000000-0005-0000-0000-0000DD080000}"/>
    <cellStyle name="Comma 4 2 4 7 2" xfId="6679" xr:uid="{00000000-0005-0000-0000-0000DE080000}"/>
    <cellStyle name="Comma 4 2 4 7 2 2" xfId="15121" xr:uid="{58478CCD-50CB-490F-9352-CBB522B2A25F}"/>
    <cellStyle name="Comma 4 2 4 7 3" xfId="10903" xr:uid="{1A2235B3-4F5E-48BB-BDE5-CB3B45D0BE16}"/>
    <cellStyle name="Comma 4 2 4 8" xfId="2369" xr:uid="{00000000-0005-0000-0000-0000DF080000}"/>
    <cellStyle name="Comma 4 2 4 9" xfId="2772" xr:uid="{00000000-0005-0000-0000-0000E0080000}"/>
    <cellStyle name="Comma 4 2 4 9 2" xfId="6996" xr:uid="{00000000-0005-0000-0000-0000E1080000}"/>
    <cellStyle name="Comma 4 2 4 9 2 2" xfId="15438" xr:uid="{100470CA-8E7C-4F15-A653-48846D67C5B4}"/>
    <cellStyle name="Comma 4 2 4 9 3" xfId="11220" xr:uid="{DADD6A03-D22B-443D-AC73-7965146EC89F}"/>
    <cellStyle name="Comma 4 2 5" xfId="142" xr:uid="{00000000-0005-0000-0000-0000E2080000}"/>
    <cellStyle name="Comma 4 2 5 10" xfId="8839" xr:uid="{4C7646A7-0462-413A-B9ED-A92424FF1087}"/>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04BD902B-1B3A-4DBF-9AE8-58BC48CA1461}"/>
    <cellStyle name="Comma 4 2 5 2 2 3" xfId="11398" xr:uid="{1F3B0416-1ED7-4A59-AD71-7EF6F28A4613}"/>
    <cellStyle name="Comma 4 2 5 2 3" xfId="5029" xr:uid="{00000000-0005-0000-0000-0000E6080000}"/>
    <cellStyle name="Comma 4 2 5 2 3 2" xfId="13471" xr:uid="{8472FF0F-0E7C-4929-ABA9-A62E0A248516}"/>
    <cellStyle name="Comma 4 2 5 2 4" xfId="9253" xr:uid="{A1A2BCAF-E100-4268-9BA7-B8A77D98D2D3}"/>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E9427304-D2CD-45BF-9C09-79D04028FDD5}"/>
    <cellStyle name="Comma 4 2 5 3 2 3" xfId="11811" xr:uid="{9C45BC59-DE05-4000-93A7-8C0F4B07317C}"/>
    <cellStyle name="Comma 4 2 5 3 3" xfId="5442" xr:uid="{00000000-0005-0000-0000-0000EA080000}"/>
    <cellStyle name="Comma 4 2 5 3 3 2" xfId="13884" xr:uid="{25B5BC19-6142-44CC-942B-644847945716}"/>
    <cellStyle name="Comma 4 2 5 3 4" xfId="9666" xr:uid="{94C9D388-31EF-4322-B202-24DAA1B1EE1E}"/>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17347C55-009D-4CE3-9A62-72DA879BE39F}"/>
    <cellStyle name="Comma 4 2 5 4 2 3" xfId="12224" xr:uid="{07A03907-84BC-4817-9844-1E04AADCDCF9}"/>
    <cellStyle name="Comma 4 2 5 4 3" xfId="5855" xr:uid="{00000000-0005-0000-0000-0000EE080000}"/>
    <cellStyle name="Comma 4 2 5 4 3 2" xfId="14297" xr:uid="{B67E2A2F-1B28-434E-B59E-D4DE1932FBC7}"/>
    <cellStyle name="Comma 4 2 5 4 4" xfId="10079" xr:uid="{AAB5F4A2-D9CB-4831-835F-FC4AFF4D8156}"/>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115F828B-74E3-41BD-B938-100E4A3708E7}"/>
    <cellStyle name="Comma 4 2 5 5 2 3" xfId="12637" xr:uid="{509AB030-7581-4236-B094-E3F7755DEB7B}"/>
    <cellStyle name="Comma 4 2 5 5 3" xfId="6268" xr:uid="{00000000-0005-0000-0000-0000F2080000}"/>
    <cellStyle name="Comma 4 2 5 5 3 2" xfId="14710" xr:uid="{2F63DB6D-5BA3-415E-8923-B86F3F4E2EDD}"/>
    <cellStyle name="Comma 4 2 5 5 4" xfId="10492" xr:uid="{73F0FC85-5049-498D-9BA4-4A6A8F813C77}"/>
    <cellStyle name="Comma 4 2 5 6" xfId="2396" xr:uid="{00000000-0005-0000-0000-0000F3080000}"/>
    <cellStyle name="Comma 4 2 5 6 2" xfId="6681" xr:uid="{00000000-0005-0000-0000-0000F4080000}"/>
    <cellStyle name="Comma 4 2 5 6 2 2" xfId="15123" xr:uid="{93D6E0F9-838D-4A15-BB77-EE3809D6A004}"/>
    <cellStyle name="Comma 4 2 5 6 3" xfId="10905" xr:uid="{F9C3E15D-4F18-4DA8-9E8A-1C354563867F}"/>
    <cellStyle name="Comma 4 2 5 7" xfId="2367" xr:uid="{00000000-0005-0000-0000-0000F5080000}"/>
    <cellStyle name="Comma 4 2 5 8" xfId="2774" xr:uid="{00000000-0005-0000-0000-0000F6080000}"/>
    <cellStyle name="Comma 4 2 5 8 2" xfId="6998" xr:uid="{00000000-0005-0000-0000-0000F7080000}"/>
    <cellStyle name="Comma 4 2 5 8 2 2" xfId="15440" xr:uid="{10DBD097-9276-4279-92B0-922AE0D6D739}"/>
    <cellStyle name="Comma 4 2 5 8 3" xfId="11222" xr:uid="{AE94AF53-11D5-4D7A-8EB8-4A25FC93621A}"/>
    <cellStyle name="Comma 4 2 5 9" xfId="4615" xr:uid="{00000000-0005-0000-0000-0000F8080000}"/>
    <cellStyle name="Comma 4 2 5 9 2" xfId="13057" xr:uid="{2F798A08-DF05-4BC6-9B9B-9A1CA0211F8F}"/>
    <cellStyle name="Comma 4 2 6" xfId="143" xr:uid="{00000000-0005-0000-0000-0000F9080000}"/>
    <cellStyle name="Comma 4 2 6 10" xfId="8840" xr:uid="{F92C24AE-BB61-4B43-9E8F-4AB5A025710D}"/>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3DA7B7E6-D082-4F19-891B-FDBDDE6AF721}"/>
    <cellStyle name="Comma 4 2 6 2 2 3" xfId="11399" xr:uid="{E464B6AD-430B-4B00-8311-2192D8DCD1F7}"/>
    <cellStyle name="Comma 4 2 6 2 3" xfId="5030" xr:uid="{00000000-0005-0000-0000-0000FD080000}"/>
    <cellStyle name="Comma 4 2 6 2 3 2" xfId="13472" xr:uid="{EA4B3F6A-576F-4450-B88C-C614BC01EA82}"/>
    <cellStyle name="Comma 4 2 6 2 4" xfId="9254" xr:uid="{EF4C3E25-6679-4C80-852C-765B6DB94312}"/>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F6DC8A95-7BD6-4986-92DD-69CF2F42BBAE}"/>
    <cellStyle name="Comma 4 2 6 3 2 3" xfId="11812" xr:uid="{D8287DE7-C0F4-4C58-A49E-E80546E529F6}"/>
    <cellStyle name="Comma 4 2 6 3 3" xfId="5443" xr:uid="{00000000-0005-0000-0000-000001090000}"/>
    <cellStyle name="Comma 4 2 6 3 3 2" xfId="13885" xr:uid="{95729D7C-4730-4E2D-B7FC-2EBF8257EF06}"/>
    <cellStyle name="Comma 4 2 6 3 4" xfId="9667" xr:uid="{7087FA6D-2D14-4E94-95D8-E1E93195EE2B}"/>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C400A81E-C4B1-4837-804E-CB025F21C33D}"/>
    <cellStyle name="Comma 4 2 6 4 2 3" xfId="12225" xr:uid="{48D8C1AC-D227-4461-8900-23D29781A853}"/>
    <cellStyle name="Comma 4 2 6 4 3" xfId="5856" xr:uid="{00000000-0005-0000-0000-000005090000}"/>
    <cellStyle name="Comma 4 2 6 4 3 2" xfId="14298" xr:uid="{810177AA-AC78-4D3F-AE45-1C6B24D31FBF}"/>
    <cellStyle name="Comma 4 2 6 4 4" xfId="10080" xr:uid="{E300842F-3C2F-467B-9E49-FE4BF87E11E0}"/>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0ABE63C0-5D27-4AEB-A11B-AB8CBCDF76A2}"/>
    <cellStyle name="Comma 4 2 6 5 2 3" xfId="12638" xr:uid="{4EA11E1A-D4B6-4E90-9F23-F196E3F555EC}"/>
    <cellStyle name="Comma 4 2 6 5 3" xfId="6269" xr:uid="{00000000-0005-0000-0000-000009090000}"/>
    <cellStyle name="Comma 4 2 6 5 3 2" xfId="14711" xr:uid="{1ABCE48B-AB3F-452A-9552-FFA64F67E2C1}"/>
    <cellStyle name="Comma 4 2 6 5 4" xfId="10493" xr:uid="{0AEFD53F-EDF5-4515-A256-D70F600CF212}"/>
    <cellStyle name="Comma 4 2 6 6" xfId="2397" xr:uid="{00000000-0005-0000-0000-00000A090000}"/>
    <cellStyle name="Comma 4 2 6 6 2" xfId="6682" xr:uid="{00000000-0005-0000-0000-00000B090000}"/>
    <cellStyle name="Comma 4 2 6 6 2 2" xfId="15124" xr:uid="{441CE9F6-3002-44CC-A840-04BF66448342}"/>
    <cellStyle name="Comma 4 2 6 6 3" xfId="10906" xr:uid="{38DDC9CA-8AE8-4D8A-ACA7-4EF4EDDA2D28}"/>
    <cellStyle name="Comma 4 2 6 7" xfId="2366" xr:uid="{00000000-0005-0000-0000-00000C090000}"/>
    <cellStyle name="Comma 4 2 6 8" xfId="2775" xr:uid="{00000000-0005-0000-0000-00000D090000}"/>
    <cellStyle name="Comma 4 2 6 8 2" xfId="6999" xr:uid="{00000000-0005-0000-0000-00000E090000}"/>
    <cellStyle name="Comma 4 2 6 8 2 2" xfId="15441" xr:uid="{F8517E89-557A-4343-8E75-8E91C7FB1FD9}"/>
    <cellStyle name="Comma 4 2 6 8 3" xfId="11223" xr:uid="{355BB149-A164-41BC-9A11-C0302F1489B8}"/>
    <cellStyle name="Comma 4 2 6 9" xfId="4616" xr:uid="{00000000-0005-0000-0000-00000F090000}"/>
    <cellStyle name="Comma 4 2 6 9 2" xfId="13058" xr:uid="{8600A482-835A-449F-A29E-8336BD182474}"/>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07118C98-486F-45DF-8103-A350819D54AD}"/>
    <cellStyle name="Comma 4 3 2 10 3" xfId="11224" xr:uid="{FA287B8B-F2C0-4BA7-9DFD-5B47F22103A0}"/>
    <cellStyle name="Comma 4 3 2 11" xfId="4617" xr:uid="{00000000-0005-0000-0000-000014090000}"/>
    <cellStyle name="Comma 4 3 2 11 2" xfId="13059" xr:uid="{0989DDD5-5D1C-4E2A-B87B-0F5A6201F64F}"/>
    <cellStyle name="Comma 4 3 2 12" xfId="8841" xr:uid="{D3FCE6CC-73A6-4866-83C0-426FABE40E54}"/>
    <cellStyle name="Comma 4 3 2 2" xfId="146" xr:uid="{00000000-0005-0000-0000-000015090000}"/>
    <cellStyle name="Comma 4 3 2 2 10" xfId="4618" xr:uid="{00000000-0005-0000-0000-000016090000}"/>
    <cellStyle name="Comma 4 3 2 2 10 2" xfId="13060" xr:uid="{B1F07AB1-F3AB-4DBB-B9D8-798D956BA878}"/>
    <cellStyle name="Comma 4 3 2 2 11" xfId="8842" xr:uid="{EB4330EE-FB0C-4BFE-ADE1-893DBA1E79B2}"/>
    <cellStyle name="Comma 4 3 2 2 2" xfId="147" xr:uid="{00000000-0005-0000-0000-000017090000}"/>
    <cellStyle name="Comma 4 3 2 2 2 10" xfId="8843" xr:uid="{E76DAC4A-05C8-4BFB-9F3B-7A4D09506A52}"/>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1FBEF1CA-DA88-4D9B-8656-004D646B1CB5}"/>
    <cellStyle name="Comma 4 3 2 2 2 2 2 3" xfId="11402" xr:uid="{AC2DA0EA-049B-4DD2-AB12-44F6B6F0B95B}"/>
    <cellStyle name="Comma 4 3 2 2 2 2 3" xfId="5033" xr:uid="{00000000-0005-0000-0000-00001B090000}"/>
    <cellStyle name="Comma 4 3 2 2 2 2 3 2" xfId="13475" xr:uid="{6FF0F707-F103-4B8A-A241-346764E4F040}"/>
    <cellStyle name="Comma 4 3 2 2 2 2 4" xfId="9257" xr:uid="{BBF879E5-8CF8-468E-B3AD-B6727F06B00B}"/>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6C61F5DE-4DFD-4292-B48C-9054BC3E44DB}"/>
    <cellStyle name="Comma 4 3 2 2 2 3 2 3" xfId="11815" xr:uid="{03E64B9B-8501-49E7-9D6A-7AA76A8E8AA1}"/>
    <cellStyle name="Comma 4 3 2 2 2 3 3" xfId="5446" xr:uid="{00000000-0005-0000-0000-00001F090000}"/>
    <cellStyle name="Comma 4 3 2 2 2 3 3 2" xfId="13888" xr:uid="{06CEC26C-8CE2-4C22-9425-F38F31446EB3}"/>
    <cellStyle name="Comma 4 3 2 2 2 3 4" xfId="9670" xr:uid="{B12CF706-DA86-49B7-A3DB-567E90A3F149}"/>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253B59F8-91AC-4E47-9CE0-8CC2E51A4475}"/>
    <cellStyle name="Comma 4 3 2 2 2 4 2 3" xfId="12228" xr:uid="{49BE96AB-30DD-445F-BC11-46FCD1E6C0C0}"/>
    <cellStyle name="Comma 4 3 2 2 2 4 3" xfId="5859" xr:uid="{00000000-0005-0000-0000-000023090000}"/>
    <cellStyle name="Comma 4 3 2 2 2 4 3 2" xfId="14301" xr:uid="{0250F09A-46A5-4A05-826C-6EF315F739A9}"/>
    <cellStyle name="Comma 4 3 2 2 2 4 4" xfId="10083" xr:uid="{EFE6D83E-8960-4F5E-B4D6-FC75F0BA242E}"/>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034D082D-74A5-4E12-968F-48062F9C7E03}"/>
    <cellStyle name="Comma 4 3 2 2 2 5 2 3" xfId="12641" xr:uid="{A0E8720C-770A-4AAC-8625-DD988CA71933}"/>
    <cellStyle name="Comma 4 3 2 2 2 5 3" xfId="6272" xr:uid="{00000000-0005-0000-0000-000027090000}"/>
    <cellStyle name="Comma 4 3 2 2 2 5 3 2" xfId="14714" xr:uid="{542FD111-7FD9-4AE1-AE0E-E6BEEB6F616F}"/>
    <cellStyle name="Comma 4 3 2 2 2 5 4" xfId="10496" xr:uid="{BCAC0C32-0275-44C4-8727-A17E63506BD4}"/>
    <cellStyle name="Comma 4 3 2 2 2 6" xfId="2400" xr:uid="{00000000-0005-0000-0000-000028090000}"/>
    <cellStyle name="Comma 4 3 2 2 2 6 2" xfId="6685" xr:uid="{00000000-0005-0000-0000-000029090000}"/>
    <cellStyle name="Comma 4 3 2 2 2 6 2 2" xfId="15127" xr:uid="{39B10F74-8223-4CF5-80FE-2129C18C7BCD}"/>
    <cellStyle name="Comma 4 3 2 2 2 6 3" xfId="10909" xr:uid="{7D1EEEC4-C7F0-41C7-8F0E-836752759148}"/>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9D8BABD4-3061-4998-8781-312C7471EA57}"/>
    <cellStyle name="Comma 4 3 2 2 2 8 3" xfId="11226" xr:uid="{BFDB3CD2-2DDF-4297-A569-BF5D7A8A3215}"/>
    <cellStyle name="Comma 4 3 2 2 2 9" xfId="4619" xr:uid="{00000000-0005-0000-0000-00002D090000}"/>
    <cellStyle name="Comma 4 3 2 2 2 9 2" xfId="13061" xr:uid="{4146A22A-0729-4FD0-BE21-A83EA9D4387B}"/>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1549A1A9-465C-4E55-959B-6F530861294F}"/>
    <cellStyle name="Comma 4 3 2 2 3 2 3" xfId="11401" xr:uid="{485DE90C-8979-4E77-8F91-85DE0121190A}"/>
    <cellStyle name="Comma 4 3 2 2 3 3" xfId="5032" xr:uid="{00000000-0005-0000-0000-000031090000}"/>
    <cellStyle name="Comma 4 3 2 2 3 3 2" xfId="13474" xr:uid="{E4A4F392-D003-4CF2-8ACE-D74302E8AA25}"/>
    <cellStyle name="Comma 4 3 2 2 3 4" xfId="9256" xr:uid="{2F167045-8DFA-4F2A-94DC-76EB9C0F348D}"/>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A1FA5672-F635-47C6-9049-D01A0DD2C8AD}"/>
    <cellStyle name="Comma 4 3 2 2 4 2 3" xfId="11814" xr:uid="{46BA1724-39C3-4A2B-ACFB-C1B1213C6F5C}"/>
    <cellStyle name="Comma 4 3 2 2 4 3" xfId="5445" xr:uid="{00000000-0005-0000-0000-000035090000}"/>
    <cellStyle name="Comma 4 3 2 2 4 3 2" xfId="13887" xr:uid="{F6734881-4F5E-4941-ADD9-311F90D53447}"/>
    <cellStyle name="Comma 4 3 2 2 4 4" xfId="9669" xr:uid="{3CCE36CA-118B-4072-820A-A3C78FC92CBA}"/>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BE52AF8D-8362-4FE1-87A6-938C8CB07388}"/>
    <cellStyle name="Comma 4 3 2 2 5 2 3" xfId="12227" xr:uid="{A5E1019C-958B-4A10-8137-3AD9636138A9}"/>
    <cellStyle name="Comma 4 3 2 2 5 3" xfId="5858" xr:uid="{00000000-0005-0000-0000-000039090000}"/>
    <cellStyle name="Comma 4 3 2 2 5 3 2" xfId="14300" xr:uid="{C4530A50-6B24-456F-9B72-82E41879B805}"/>
    <cellStyle name="Comma 4 3 2 2 5 4" xfId="10082" xr:uid="{34F40EEA-2454-4B95-8958-BC12559F9F0D}"/>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A82E93DD-9044-49E0-9139-DBFEDD5010EB}"/>
    <cellStyle name="Comma 4 3 2 2 6 2 3" xfId="12640" xr:uid="{A5B1408A-E3C5-47ED-A146-F2C1E25C387B}"/>
    <cellStyle name="Comma 4 3 2 2 6 3" xfId="6271" xr:uid="{00000000-0005-0000-0000-00003D090000}"/>
    <cellStyle name="Comma 4 3 2 2 6 3 2" xfId="14713" xr:uid="{6429B396-74CA-4021-8C4B-AD85A178F3E1}"/>
    <cellStyle name="Comma 4 3 2 2 6 4" xfId="10495" xr:uid="{8EBD6103-313C-46A4-AE3B-79463BB2914D}"/>
    <cellStyle name="Comma 4 3 2 2 7" xfId="2399" xr:uid="{00000000-0005-0000-0000-00003E090000}"/>
    <cellStyle name="Comma 4 3 2 2 7 2" xfId="6684" xr:uid="{00000000-0005-0000-0000-00003F090000}"/>
    <cellStyle name="Comma 4 3 2 2 7 2 2" xfId="15126" xr:uid="{5C8BFDAF-28F5-43BC-A64B-7D6E092F9610}"/>
    <cellStyle name="Comma 4 3 2 2 7 3" xfId="10908" xr:uid="{2F104D32-B8CC-4578-A064-CA06C356FF77}"/>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BC122C79-69D9-44BC-BE56-D6A71AC5224C}"/>
    <cellStyle name="Comma 4 3 2 2 9 3" xfId="11225" xr:uid="{20FA4D04-7938-44DD-823E-8ECFF3B603F9}"/>
    <cellStyle name="Comma 4 3 2 3" xfId="148" xr:uid="{00000000-0005-0000-0000-000043090000}"/>
    <cellStyle name="Comma 4 3 2 3 10" xfId="8844" xr:uid="{55F85BC0-DA80-4928-BD29-D13B15E61CB2}"/>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0F8C5213-1359-4C2C-AF0E-621756738CC5}"/>
    <cellStyle name="Comma 4 3 2 3 2 2 3" xfId="11403" xr:uid="{F7BCCE28-C7DC-425E-A748-73B0F40254C5}"/>
    <cellStyle name="Comma 4 3 2 3 2 3" xfId="5034" xr:uid="{00000000-0005-0000-0000-000047090000}"/>
    <cellStyle name="Comma 4 3 2 3 2 3 2" xfId="13476" xr:uid="{CDAA06E1-5DB8-4727-B586-91B3607E6CEA}"/>
    <cellStyle name="Comma 4 3 2 3 2 4" xfId="9258" xr:uid="{02D35BAA-4255-4A55-82D5-1A8B116B2C6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E822B38C-DA77-43E5-AED6-5F8250025AA0}"/>
    <cellStyle name="Comma 4 3 2 3 3 2 3" xfId="11816" xr:uid="{525FEF88-4576-468E-91B4-F6C4708DAC30}"/>
    <cellStyle name="Comma 4 3 2 3 3 3" xfId="5447" xr:uid="{00000000-0005-0000-0000-00004B090000}"/>
    <cellStyle name="Comma 4 3 2 3 3 3 2" xfId="13889" xr:uid="{4B9F4700-DDEE-4526-A091-0E201806CAA0}"/>
    <cellStyle name="Comma 4 3 2 3 3 4" xfId="9671" xr:uid="{3A00EA4C-FD02-4117-8FC8-F333047F3DE4}"/>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3CF527B-95B3-40C0-932F-CB1C679FD3B8}"/>
    <cellStyle name="Comma 4 3 2 3 4 2 3" xfId="12229" xr:uid="{226694C8-FC99-4E07-9B74-9E388574AA0C}"/>
    <cellStyle name="Comma 4 3 2 3 4 3" xfId="5860" xr:uid="{00000000-0005-0000-0000-00004F090000}"/>
    <cellStyle name="Comma 4 3 2 3 4 3 2" xfId="14302" xr:uid="{3C067AC2-9459-4A05-9832-C100FD660AA8}"/>
    <cellStyle name="Comma 4 3 2 3 4 4" xfId="10084" xr:uid="{13EA4027-CE1E-42B6-B069-2A98CB3E2EC4}"/>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A183787E-8868-4B37-A26F-B8E7E81D0D8C}"/>
    <cellStyle name="Comma 4 3 2 3 5 2 3" xfId="12642" xr:uid="{5440C6B3-9FEC-4805-B9C3-E2D897F8513C}"/>
    <cellStyle name="Comma 4 3 2 3 5 3" xfId="6273" xr:uid="{00000000-0005-0000-0000-000053090000}"/>
    <cellStyle name="Comma 4 3 2 3 5 3 2" xfId="14715" xr:uid="{7877FBF4-DB55-40BB-91A7-0B37C9C229CB}"/>
    <cellStyle name="Comma 4 3 2 3 5 4" xfId="10497" xr:uid="{585985B4-8E26-4022-92DD-034B0414EDAB}"/>
    <cellStyle name="Comma 4 3 2 3 6" xfId="2401" xr:uid="{00000000-0005-0000-0000-000054090000}"/>
    <cellStyle name="Comma 4 3 2 3 6 2" xfId="6686" xr:uid="{00000000-0005-0000-0000-000055090000}"/>
    <cellStyle name="Comma 4 3 2 3 6 2 2" xfId="15128" xr:uid="{040AE914-127D-42B8-8E71-6A358B9B4D37}"/>
    <cellStyle name="Comma 4 3 2 3 6 3" xfId="10910" xr:uid="{3936B94C-0D27-46D6-9D93-06BA6034E5AE}"/>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C1D8B94-7616-491E-858E-DBC0C57209D7}"/>
    <cellStyle name="Comma 4 3 2 3 8 3" xfId="11227" xr:uid="{3662239A-D4BE-40E2-94FB-EB0B99E8309A}"/>
    <cellStyle name="Comma 4 3 2 3 9" xfId="4620" xr:uid="{00000000-0005-0000-0000-000059090000}"/>
    <cellStyle name="Comma 4 3 2 3 9 2" xfId="13062" xr:uid="{79D24219-ED1B-411E-8E87-6A8BEF7A65A3}"/>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A9226203-0038-44D0-9806-1280295EFA25}"/>
    <cellStyle name="Comma 4 3 2 4 2 3" xfId="11400" xr:uid="{32E62CE3-4291-49FA-9949-F3AFA2849570}"/>
    <cellStyle name="Comma 4 3 2 4 3" xfId="5031" xr:uid="{00000000-0005-0000-0000-00005D090000}"/>
    <cellStyle name="Comma 4 3 2 4 3 2" xfId="13473" xr:uid="{ADFBF849-A16D-4FBA-8FE7-C2F5F5BC0630}"/>
    <cellStyle name="Comma 4 3 2 4 4" xfId="9255" xr:uid="{62C4A08D-8869-4A46-BF19-CCEE278175CE}"/>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9C04F51B-9C33-48B7-8006-927A5597CFF0}"/>
    <cellStyle name="Comma 4 3 2 5 2 3" xfId="11813" xr:uid="{2419C3F9-CC85-4F41-8687-03D3C7A6E548}"/>
    <cellStyle name="Comma 4 3 2 5 3" xfId="5444" xr:uid="{00000000-0005-0000-0000-000061090000}"/>
    <cellStyle name="Comma 4 3 2 5 3 2" xfId="13886" xr:uid="{B9655D2F-88A2-447D-9C93-FAD580C1B0C0}"/>
    <cellStyle name="Comma 4 3 2 5 4" xfId="9668" xr:uid="{3E2DD7A0-91DA-4635-B0D5-95C4C0BF24B1}"/>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5E080316-1411-48F2-8F5C-D466371AF455}"/>
    <cellStyle name="Comma 4 3 2 6 2 3" xfId="12226" xr:uid="{DA557FCB-327F-4738-932E-BE8767D77FFD}"/>
    <cellStyle name="Comma 4 3 2 6 3" xfId="5857" xr:uid="{00000000-0005-0000-0000-000065090000}"/>
    <cellStyle name="Comma 4 3 2 6 3 2" xfId="14299" xr:uid="{97C7B7F0-F044-4315-A19B-2C0E388EA372}"/>
    <cellStyle name="Comma 4 3 2 6 4" xfId="10081" xr:uid="{404193D3-5F85-438C-936E-9B7FE1A01B84}"/>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3F3BC8E-C73E-4108-A28B-A579B6C20AD7}"/>
    <cellStyle name="Comma 4 3 2 7 2 3" xfId="12639" xr:uid="{83896561-CCA1-4126-B08B-DFF8D60CF5F1}"/>
    <cellStyle name="Comma 4 3 2 7 3" xfId="6270" xr:uid="{00000000-0005-0000-0000-000069090000}"/>
    <cellStyle name="Comma 4 3 2 7 3 2" xfId="14712" xr:uid="{3F14E653-D8F9-40AE-93F8-94ECC5AB500E}"/>
    <cellStyle name="Comma 4 3 2 7 4" xfId="10494" xr:uid="{BE3A63EB-10F9-45D4-A545-B0DA23D3F472}"/>
    <cellStyle name="Comma 4 3 2 8" xfId="2398" xr:uid="{00000000-0005-0000-0000-00006A090000}"/>
    <cellStyle name="Comma 4 3 2 8 2" xfId="6683" xr:uid="{00000000-0005-0000-0000-00006B090000}"/>
    <cellStyle name="Comma 4 3 2 8 2 2" xfId="15125" xr:uid="{6E14A3E7-E13C-4642-9B23-74959C03A3DD}"/>
    <cellStyle name="Comma 4 3 2 8 3" xfId="10907" xr:uid="{34128D23-B0BD-48DB-AD8A-851771C082E7}"/>
    <cellStyle name="Comma 4 3 2 9" xfId="2365" xr:uid="{00000000-0005-0000-0000-00006C090000}"/>
    <cellStyle name="Comma 4 3 3" xfId="149" xr:uid="{00000000-0005-0000-0000-00006D090000}"/>
    <cellStyle name="Comma 4 3 3 10" xfId="4621" xr:uid="{00000000-0005-0000-0000-00006E090000}"/>
    <cellStyle name="Comma 4 3 3 10 2" xfId="13063" xr:uid="{A5E29048-D7FE-43A2-842A-67788305C914}"/>
    <cellStyle name="Comma 4 3 3 11" xfId="8845" xr:uid="{0408B434-2F83-4CA8-B8D4-3052A096B6EF}"/>
    <cellStyle name="Comma 4 3 3 2" xfId="150" xr:uid="{00000000-0005-0000-0000-00006F090000}"/>
    <cellStyle name="Comma 4 3 3 2 10" xfId="8846" xr:uid="{EE5358CC-BA2A-43D6-B6F7-AA3DFC0D04E7}"/>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DD54AF81-870C-4906-941E-1CF02FF665B6}"/>
    <cellStyle name="Comma 4 3 3 2 2 2 3" xfId="11405" xr:uid="{F292AFBB-105A-44BE-9F2C-CA1217B8157A}"/>
    <cellStyle name="Comma 4 3 3 2 2 3" xfId="5036" xr:uid="{00000000-0005-0000-0000-000073090000}"/>
    <cellStyle name="Comma 4 3 3 2 2 3 2" xfId="13478" xr:uid="{3C0BFC48-E49C-4348-B429-A3308478E741}"/>
    <cellStyle name="Comma 4 3 3 2 2 4" xfId="9260" xr:uid="{7D771A46-8C96-44A0-A44C-618C2C404B50}"/>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8AB72012-FB52-404E-8A11-2DB343F1394B}"/>
    <cellStyle name="Comma 4 3 3 2 3 2 3" xfId="11818" xr:uid="{93CC5B2C-44D8-4B38-AA27-220327A17FE3}"/>
    <cellStyle name="Comma 4 3 3 2 3 3" xfId="5449" xr:uid="{00000000-0005-0000-0000-000077090000}"/>
    <cellStyle name="Comma 4 3 3 2 3 3 2" xfId="13891" xr:uid="{26C4F772-B8AE-4994-93BC-4EEA430F781E}"/>
    <cellStyle name="Comma 4 3 3 2 3 4" xfId="9673" xr:uid="{6B4923C1-D1C5-4202-B68A-074F01134555}"/>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7EE548EC-BB6A-4A81-B372-328BFCEBDC64}"/>
    <cellStyle name="Comma 4 3 3 2 4 2 3" xfId="12231" xr:uid="{E8DF7F88-49BB-42AE-88C4-0E238EC3DC4B}"/>
    <cellStyle name="Comma 4 3 3 2 4 3" xfId="5862" xr:uid="{00000000-0005-0000-0000-00007B090000}"/>
    <cellStyle name="Comma 4 3 3 2 4 3 2" xfId="14304" xr:uid="{0AB61468-58F1-4EF1-A288-79F450DEE35A}"/>
    <cellStyle name="Comma 4 3 3 2 4 4" xfId="10086" xr:uid="{CF68E1C6-037E-4C05-AF03-EA0433309376}"/>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D2092781-C1DB-4157-99FF-839DBFE9244D}"/>
    <cellStyle name="Comma 4 3 3 2 5 2 3" xfId="12644" xr:uid="{83E5A887-8B25-479A-92BB-EA824635791F}"/>
    <cellStyle name="Comma 4 3 3 2 5 3" xfId="6275" xr:uid="{00000000-0005-0000-0000-00007F090000}"/>
    <cellStyle name="Comma 4 3 3 2 5 3 2" xfId="14717" xr:uid="{244E1504-EC07-48D0-A527-CA5E605A3C94}"/>
    <cellStyle name="Comma 4 3 3 2 5 4" xfId="10499" xr:uid="{021A37E2-8F4E-404F-A63A-90D0C4EE446F}"/>
    <cellStyle name="Comma 4 3 3 2 6" xfId="2403" xr:uid="{00000000-0005-0000-0000-000080090000}"/>
    <cellStyle name="Comma 4 3 3 2 6 2" xfId="6688" xr:uid="{00000000-0005-0000-0000-000081090000}"/>
    <cellStyle name="Comma 4 3 3 2 6 2 2" xfId="15130" xr:uid="{684CC6E6-D292-4986-9278-2071B01418DE}"/>
    <cellStyle name="Comma 4 3 3 2 6 3" xfId="10912" xr:uid="{139E18E1-E17C-49B9-97BC-12D5839FC6AF}"/>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272A5837-A67F-4180-A94F-E4E47B6EB999}"/>
    <cellStyle name="Comma 4 3 3 2 8 3" xfId="11229" xr:uid="{B6B9BDC1-0F55-430D-A950-712761D6FC96}"/>
    <cellStyle name="Comma 4 3 3 2 9" xfId="4622" xr:uid="{00000000-0005-0000-0000-000085090000}"/>
    <cellStyle name="Comma 4 3 3 2 9 2" xfId="13064" xr:uid="{6FA83269-BCC3-448F-8525-41D561CEBC75}"/>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F0304FE1-ACF8-42CF-9DC4-38482423FA51}"/>
    <cellStyle name="Comma 4 3 3 3 2 3" xfId="11404" xr:uid="{3C9322E2-BFEE-4B15-93CD-614541F6FD16}"/>
    <cellStyle name="Comma 4 3 3 3 3" xfId="5035" xr:uid="{00000000-0005-0000-0000-000089090000}"/>
    <cellStyle name="Comma 4 3 3 3 3 2" xfId="13477" xr:uid="{1615D98F-25E2-4B32-905F-E0DBA32E8468}"/>
    <cellStyle name="Comma 4 3 3 3 4" xfId="9259" xr:uid="{073D3C6B-44AB-4D92-93FE-59DAAE816B98}"/>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B3954ADE-1270-4A6F-B451-FE135C667AD1}"/>
    <cellStyle name="Comma 4 3 3 4 2 3" xfId="11817" xr:uid="{92DF74E4-6DEB-4275-A88E-05FD7BA204AD}"/>
    <cellStyle name="Comma 4 3 3 4 3" xfId="5448" xr:uid="{00000000-0005-0000-0000-00008D090000}"/>
    <cellStyle name="Comma 4 3 3 4 3 2" xfId="13890" xr:uid="{B2AAA478-23A1-48DA-9561-DAE696223DFA}"/>
    <cellStyle name="Comma 4 3 3 4 4" xfId="9672" xr:uid="{77220C8D-9D0C-4AC9-8914-3BBBAE8C143C}"/>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DBD2631-83F8-44A7-AF02-2D88C557CA0D}"/>
    <cellStyle name="Comma 4 3 3 5 2 3" xfId="12230" xr:uid="{543E8499-E3C9-4C8C-BF50-EFD337FF523E}"/>
    <cellStyle name="Comma 4 3 3 5 3" xfId="5861" xr:uid="{00000000-0005-0000-0000-000091090000}"/>
    <cellStyle name="Comma 4 3 3 5 3 2" xfId="14303" xr:uid="{D7DD5DF4-B701-42A3-8D6B-2F359480BC6E}"/>
    <cellStyle name="Comma 4 3 3 5 4" xfId="10085" xr:uid="{F24B6799-3093-4E14-93BD-CFDB34D4A2AF}"/>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DD453BC7-FE3C-47AA-84D2-339EB059C95E}"/>
    <cellStyle name="Comma 4 3 3 6 2 3" xfId="12643" xr:uid="{6400A436-D220-49EA-81A1-17D03A0C1387}"/>
    <cellStyle name="Comma 4 3 3 6 3" xfId="6274" xr:uid="{00000000-0005-0000-0000-000095090000}"/>
    <cellStyle name="Comma 4 3 3 6 3 2" xfId="14716" xr:uid="{E03C6049-F9FF-4DDC-B599-09ACF798B809}"/>
    <cellStyle name="Comma 4 3 3 6 4" xfId="10498" xr:uid="{F06CC030-3045-4DBA-9881-6E98E70962AA}"/>
    <cellStyle name="Comma 4 3 3 7" xfId="2402" xr:uid="{00000000-0005-0000-0000-000096090000}"/>
    <cellStyle name="Comma 4 3 3 7 2" xfId="6687" xr:uid="{00000000-0005-0000-0000-000097090000}"/>
    <cellStyle name="Comma 4 3 3 7 2 2" xfId="15129" xr:uid="{E8F7F526-2E43-4812-AC1F-8085A428CA49}"/>
    <cellStyle name="Comma 4 3 3 7 3" xfId="10911" xr:uid="{8C751207-FBE9-4E32-A90A-D49DF57E2B3C}"/>
    <cellStyle name="Comma 4 3 3 8" xfId="2361" xr:uid="{00000000-0005-0000-0000-000098090000}"/>
    <cellStyle name="Comma 4 3 3 9" xfId="2780" xr:uid="{00000000-0005-0000-0000-000099090000}"/>
    <cellStyle name="Comma 4 3 3 9 2" xfId="7004" xr:uid="{00000000-0005-0000-0000-00009A090000}"/>
    <cellStyle name="Comma 4 3 3 9 2 2" xfId="15446" xr:uid="{D84B45EC-0FA6-4E43-82FC-EF32BB8219E9}"/>
    <cellStyle name="Comma 4 3 3 9 3" xfId="11228" xr:uid="{33893E23-62AB-4E61-B000-30D346C3A513}"/>
    <cellStyle name="Comma 4 3 4" xfId="151" xr:uid="{00000000-0005-0000-0000-00009B090000}"/>
    <cellStyle name="Comma 4 3 4 10" xfId="8847" xr:uid="{5B5220DE-2094-4204-8427-4E0B65DDA138}"/>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53ED433C-EC63-465B-B032-ACC3AF956EC7}"/>
    <cellStyle name="Comma 4 3 4 2 2 3" xfId="11406" xr:uid="{EE54245B-1547-4AAE-934B-55FB9417A4B3}"/>
    <cellStyle name="Comma 4 3 4 2 3" xfId="5037" xr:uid="{00000000-0005-0000-0000-00009F090000}"/>
    <cellStyle name="Comma 4 3 4 2 3 2" xfId="13479" xr:uid="{DEDA4906-E5FA-4D62-BA6A-9973F83D5315}"/>
    <cellStyle name="Comma 4 3 4 2 4" xfId="9261" xr:uid="{8C08B889-55D0-4316-8C53-F72B8D43ED2E}"/>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84120CE6-6CB5-443E-AD76-1FC6DDB27527}"/>
    <cellStyle name="Comma 4 3 4 3 2 3" xfId="11819" xr:uid="{84C351B9-875C-4771-8936-3E817F05FF65}"/>
    <cellStyle name="Comma 4 3 4 3 3" xfId="5450" xr:uid="{00000000-0005-0000-0000-0000A3090000}"/>
    <cellStyle name="Comma 4 3 4 3 3 2" xfId="13892" xr:uid="{D2BC1C34-E52D-432A-ADA2-2377BE26B572}"/>
    <cellStyle name="Comma 4 3 4 3 4" xfId="9674" xr:uid="{11914F93-13B3-4BF7-953E-289DC8F9858D}"/>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D5B2E3B1-3022-4248-A005-8AA0B0AC7581}"/>
    <cellStyle name="Comma 4 3 4 4 2 3" xfId="12232" xr:uid="{20ECFF2C-32A0-4878-880B-7AFFBA08861E}"/>
    <cellStyle name="Comma 4 3 4 4 3" xfId="5863" xr:uid="{00000000-0005-0000-0000-0000A7090000}"/>
    <cellStyle name="Comma 4 3 4 4 3 2" xfId="14305" xr:uid="{1B192473-45AD-4F2C-A163-63D969461EBD}"/>
    <cellStyle name="Comma 4 3 4 4 4" xfId="10087" xr:uid="{B507228C-125F-445F-9764-FAF26661C692}"/>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DEC16DF8-2C07-4B45-A9E3-D6C549244C01}"/>
    <cellStyle name="Comma 4 3 4 5 2 3" xfId="12645" xr:uid="{BA1F90A6-5A58-4A8E-87DB-2D5FFE5438BD}"/>
    <cellStyle name="Comma 4 3 4 5 3" xfId="6276" xr:uid="{00000000-0005-0000-0000-0000AB090000}"/>
    <cellStyle name="Comma 4 3 4 5 3 2" xfId="14718" xr:uid="{63968524-2F37-47D1-AF2C-392B40A76B71}"/>
    <cellStyle name="Comma 4 3 4 5 4" xfId="10500" xr:uid="{FFD3A4CB-9A93-4B96-9B92-9676BE6BE602}"/>
    <cellStyle name="Comma 4 3 4 6" xfId="2404" xr:uid="{00000000-0005-0000-0000-0000AC090000}"/>
    <cellStyle name="Comma 4 3 4 6 2" xfId="6689" xr:uid="{00000000-0005-0000-0000-0000AD090000}"/>
    <cellStyle name="Comma 4 3 4 6 2 2" xfId="15131" xr:uid="{E50E33ED-1823-4068-9AC7-940ABAAAF6A0}"/>
    <cellStyle name="Comma 4 3 4 6 3" xfId="10913" xr:uid="{280A7EC7-F844-41F4-BABC-3AB8E82CE1A0}"/>
    <cellStyle name="Comma 4 3 4 7" xfId="2700" xr:uid="{00000000-0005-0000-0000-0000AE090000}"/>
    <cellStyle name="Comma 4 3 4 8" xfId="2782" xr:uid="{00000000-0005-0000-0000-0000AF090000}"/>
    <cellStyle name="Comma 4 3 4 8 2" xfId="7006" xr:uid="{00000000-0005-0000-0000-0000B0090000}"/>
    <cellStyle name="Comma 4 3 4 8 2 2" xfId="15448" xr:uid="{7553A5A8-086D-4A26-A14E-C6E333EC057A}"/>
    <cellStyle name="Comma 4 3 4 8 3" xfId="11230" xr:uid="{E7E4AC7C-5AA6-4C09-BBB2-752EFC93F300}"/>
    <cellStyle name="Comma 4 3 4 9" xfId="4623" xr:uid="{00000000-0005-0000-0000-0000B1090000}"/>
    <cellStyle name="Comma 4 3 4 9 2" xfId="13065" xr:uid="{AF392611-F0DD-4F86-99CC-A655AB4ABB1B}"/>
    <cellStyle name="Comma 4 3 5" xfId="152" xr:uid="{00000000-0005-0000-0000-0000B2090000}"/>
    <cellStyle name="Comma 4 3 5 10" xfId="8848" xr:uid="{4D0120DF-2FE6-4780-BAD5-A6A8E4F536B5}"/>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F31D4D0E-0881-46D3-B37F-7FE2959EEEDD}"/>
    <cellStyle name="Comma 4 3 5 2 2 3" xfId="11407" xr:uid="{144D280D-883B-4EF9-A5C7-6191E8CC95F0}"/>
    <cellStyle name="Comma 4 3 5 2 3" xfId="5038" xr:uid="{00000000-0005-0000-0000-0000B6090000}"/>
    <cellStyle name="Comma 4 3 5 2 3 2" xfId="13480" xr:uid="{9D106A45-542F-4843-B984-2ECEDA86A43C}"/>
    <cellStyle name="Comma 4 3 5 2 4" xfId="9262" xr:uid="{13734B39-7234-4B7B-9C3B-B6B4E9052FF5}"/>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DD09268D-212C-4B78-8D57-BF663E21DECB}"/>
    <cellStyle name="Comma 4 3 5 3 2 3" xfId="11820" xr:uid="{68152A07-F707-4C4B-9CE2-E30EF547E32F}"/>
    <cellStyle name="Comma 4 3 5 3 3" xfId="5451" xr:uid="{00000000-0005-0000-0000-0000BA090000}"/>
    <cellStyle name="Comma 4 3 5 3 3 2" xfId="13893" xr:uid="{043AD891-6F88-4051-A08F-4C87005E1247}"/>
    <cellStyle name="Comma 4 3 5 3 4" xfId="9675" xr:uid="{17AEFF82-8E12-4551-AB42-863D9BFA495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03401849-CE7B-42FB-897D-A693C98E9C39}"/>
    <cellStyle name="Comma 4 3 5 4 2 3" xfId="12233" xr:uid="{CD98868C-F9C7-4C31-AA85-CA1B6668CBB3}"/>
    <cellStyle name="Comma 4 3 5 4 3" xfId="5864" xr:uid="{00000000-0005-0000-0000-0000BE090000}"/>
    <cellStyle name="Comma 4 3 5 4 3 2" xfId="14306" xr:uid="{A1503B6D-8E3C-4435-B72E-572BEED2217A}"/>
    <cellStyle name="Comma 4 3 5 4 4" xfId="10088" xr:uid="{79AF6AE5-6E84-4070-81A5-D77528DA5914}"/>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6B18E960-AA1E-41B5-AB67-121127908632}"/>
    <cellStyle name="Comma 4 3 5 5 2 3" xfId="12646" xr:uid="{C4829600-83A5-4107-BB1F-87FC54B922B4}"/>
    <cellStyle name="Comma 4 3 5 5 3" xfId="6277" xr:uid="{00000000-0005-0000-0000-0000C2090000}"/>
    <cellStyle name="Comma 4 3 5 5 3 2" xfId="14719" xr:uid="{4D39EBFF-0980-4B19-9BD9-C28114534402}"/>
    <cellStyle name="Comma 4 3 5 5 4" xfId="10501" xr:uid="{7DC0C528-5B75-43B3-8BE8-7504CB6A1BB4}"/>
    <cellStyle name="Comma 4 3 5 6" xfId="2405" xr:uid="{00000000-0005-0000-0000-0000C3090000}"/>
    <cellStyle name="Comma 4 3 5 6 2" xfId="6690" xr:uid="{00000000-0005-0000-0000-0000C4090000}"/>
    <cellStyle name="Comma 4 3 5 6 2 2" xfId="15132" xr:uid="{98CD01A5-B5A4-46A5-AF78-6D6244416EB1}"/>
    <cellStyle name="Comma 4 3 5 6 3" xfId="10914" xr:uid="{CCE6E397-72E4-4F37-98F4-5E20CACC020C}"/>
    <cellStyle name="Comma 4 3 5 7" xfId="2701" xr:uid="{00000000-0005-0000-0000-0000C5090000}"/>
    <cellStyle name="Comma 4 3 5 8" xfId="2783" xr:uid="{00000000-0005-0000-0000-0000C6090000}"/>
    <cellStyle name="Comma 4 3 5 8 2" xfId="7007" xr:uid="{00000000-0005-0000-0000-0000C7090000}"/>
    <cellStyle name="Comma 4 3 5 8 2 2" xfId="15449" xr:uid="{F7B2B99B-11FF-4595-92D8-1B726B17585E}"/>
    <cellStyle name="Comma 4 3 5 8 3" xfId="11231" xr:uid="{C12D5D7B-ECCE-480B-B94B-F8662D9D813B}"/>
    <cellStyle name="Comma 4 3 5 9" xfId="4624" xr:uid="{00000000-0005-0000-0000-0000C8090000}"/>
    <cellStyle name="Comma 4 3 5 9 2" xfId="13066" xr:uid="{D1188267-FBDC-4734-8822-EC002A671D95}"/>
    <cellStyle name="Comma 4 4" xfId="153" xr:uid="{00000000-0005-0000-0000-0000C9090000}"/>
    <cellStyle name="Comma 4 4 10" xfId="2784" xr:uid="{00000000-0005-0000-0000-0000CA090000}"/>
    <cellStyle name="Comma 4 4 10 2" xfId="7008" xr:uid="{00000000-0005-0000-0000-0000CB090000}"/>
    <cellStyle name="Comma 4 4 10 2 2" xfId="15450" xr:uid="{25FD17F2-7CE9-4645-AD7A-ECE52AC88DD3}"/>
    <cellStyle name="Comma 4 4 10 3" xfId="11232" xr:uid="{F1DA3B01-D8CF-4375-AE1F-AF93C6B05D2A}"/>
    <cellStyle name="Comma 4 4 11" xfId="4625" xr:uid="{00000000-0005-0000-0000-0000CC090000}"/>
    <cellStyle name="Comma 4 4 11 2" xfId="13067" xr:uid="{6B5E6D53-47CB-4B84-8F2B-F3CB86524128}"/>
    <cellStyle name="Comma 4 4 12" xfId="8849" xr:uid="{819F07A8-2A6C-4ABD-97A0-9188EE4BA049}"/>
    <cellStyle name="Comma 4 4 2" xfId="154" xr:uid="{00000000-0005-0000-0000-0000CD090000}"/>
    <cellStyle name="Comma 4 4 2 10" xfId="4626" xr:uid="{00000000-0005-0000-0000-0000CE090000}"/>
    <cellStyle name="Comma 4 4 2 10 2" xfId="13068" xr:uid="{378BBF36-AC7C-4B77-B2D2-805D66EF26AC}"/>
    <cellStyle name="Comma 4 4 2 11" xfId="8850" xr:uid="{91705349-3B85-4848-B9F3-4EC24400D0A9}"/>
    <cellStyle name="Comma 4 4 2 2" xfId="155" xr:uid="{00000000-0005-0000-0000-0000CF090000}"/>
    <cellStyle name="Comma 4 4 2 2 10" xfId="8851" xr:uid="{693F34AA-EB2A-4971-9BC0-27202F33D478}"/>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BAA91D35-3D26-4A20-9792-F11EE8084E2B}"/>
    <cellStyle name="Comma 4 4 2 2 2 2 3" xfId="11410" xr:uid="{9A6A3B02-1367-49E8-A970-B7CA568CA285}"/>
    <cellStyle name="Comma 4 4 2 2 2 3" xfId="5041" xr:uid="{00000000-0005-0000-0000-0000D3090000}"/>
    <cellStyle name="Comma 4 4 2 2 2 3 2" xfId="13483" xr:uid="{1E2473CE-D9FE-4240-A69E-F6B10A82C94B}"/>
    <cellStyle name="Comma 4 4 2 2 2 4" xfId="9265" xr:uid="{0B9FB31C-7BE9-48B7-A755-5229BF973E34}"/>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81F3CADA-1D7F-433A-BDBD-4A7286B0839B}"/>
    <cellStyle name="Comma 4 4 2 2 3 2 3" xfId="11823" xr:uid="{588643FB-B8BF-46E1-A119-18B3BAF91C37}"/>
    <cellStyle name="Comma 4 4 2 2 3 3" xfId="5454" xr:uid="{00000000-0005-0000-0000-0000D7090000}"/>
    <cellStyle name="Comma 4 4 2 2 3 3 2" xfId="13896" xr:uid="{21426138-E5D9-4644-A7A8-4A4BFA11DB38}"/>
    <cellStyle name="Comma 4 4 2 2 3 4" xfId="9678" xr:uid="{34BB5723-3C65-4A82-8C41-7DCD22CF8764}"/>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D28D0CA3-831D-4754-A3A0-B76966985F05}"/>
    <cellStyle name="Comma 4 4 2 2 4 2 3" xfId="12236" xr:uid="{FA7E5B7F-FA23-4743-AA4B-897700C544AD}"/>
    <cellStyle name="Comma 4 4 2 2 4 3" xfId="5867" xr:uid="{00000000-0005-0000-0000-0000DB090000}"/>
    <cellStyle name="Comma 4 4 2 2 4 3 2" xfId="14309" xr:uid="{5ED18823-7A25-473D-8580-E3E1CDEC03F1}"/>
    <cellStyle name="Comma 4 4 2 2 4 4" xfId="10091" xr:uid="{57DB7842-8A59-4F8F-BEF9-AFD7D49097C6}"/>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312BC851-AC2F-4F13-8896-9A30D0A50722}"/>
    <cellStyle name="Comma 4 4 2 2 5 2 3" xfId="12649" xr:uid="{2C568BE8-AC81-45DC-9ECD-5FAF5EB0F3D8}"/>
    <cellStyle name="Comma 4 4 2 2 5 3" xfId="6280" xr:uid="{00000000-0005-0000-0000-0000DF090000}"/>
    <cellStyle name="Comma 4 4 2 2 5 3 2" xfId="14722" xr:uid="{CC59A545-6FA2-47F3-8026-00C198A10603}"/>
    <cellStyle name="Comma 4 4 2 2 5 4" xfId="10504" xr:uid="{3633B8DB-BE50-4FC3-92A9-7A2AA3077802}"/>
    <cellStyle name="Comma 4 4 2 2 6" xfId="2408" xr:uid="{00000000-0005-0000-0000-0000E0090000}"/>
    <cellStyle name="Comma 4 4 2 2 6 2" xfId="6693" xr:uid="{00000000-0005-0000-0000-0000E1090000}"/>
    <cellStyle name="Comma 4 4 2 2 6 2 2" xfId="15135" xr:uid="{D97E6223-0539-44F7-8D34-E1CD9257461D}"/>
    <cellStyle name="Comma 4 4 2 2 6 3" xfId="10917" xr:uid="{D96B5F1B-03C1-4BE3-821E-DF5E6E7F63B6}"/>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BF01AF1E-521D-4AE1-9235-F6BD8D073AE7}"/>
    <cellStyle name="Comma 4 4 2 2 8 3" xfId="11234" xr:uid="{D71B60A2-CDC7-4B48-91CE-3C4AD3C38F1C}"/>
    <cellStyle name="Comma 4 4 2 2 9" xfId="4627" xr:uid="{00000000-0005-0000-0000-0000E5090000}"/>
    <cellStyle name="Comma 4 4 2 2 9 2" xfId="13069" xr:uid="{90C4801B-1E96-4915-A292-FB28ED65740E}"/>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9E6FC0D5-1F6D-44BB-9FFB-1B2F344D1DAF}"/>
    <cellStyle name="Comma 4 4 2 3 2 3" xfId="11409" xr:uid="{77C0BF18-F075-447D-818C-7F88220322B8}"/>
    <cellStyle name="Comma 4 4 2 3 3" xfId="5040" xr:uid="{00000000-0005-0000-0000-0000E9090000}"/>
    <cellStyle name="Comma 4 4 2 3 3 2" xfId="13482" xr:uid="{AFB09E70-5D6F-44EB-BA85-1D353E9331DA}"/>
    <cellStyle name="Comma 4 4 2 3 4" xfId="9264" xr:uid="{34E53CBA-5534-4770-8AE6-38E5A64316FC}"/>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AF75A564-72EC-46C9-9FE2-9E9FD25F6B60}"/>
    <cellStyle name="Comma 4 4 2 4 2 3" xfId="11822" xr:uid="{C4BF5124-2B6E-4587-9CE0-1D02F3FD4955}"/>
    <cellStyle name="Comma 4 4 2 4 3" xfId="5453" xr:uid="{00000000-0005-0000-0000-0000ED090000}"/>
    <cellStyle name="Comma 4 4 2 4 3 2" xfId="13895" xr:uid="{278B53BA-F99B-408F-A37E-7576BBA95126}"/>
    <cellStyle name="Comma 4 4 2 4 4" xfId="9677" xr:uid="{F06496EE-7152-4280-8CE7-2D2B10BA36C2}"/>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6B53B4B-6EE5-43DF-BAD5-BB296BADF284}"/>
    <cellStyle name="Comma 4 4 2 5 2 3" xfId="12235" xr:uid="{0EBF136F-F56A-4773-BCDD-D2DF67AA86B9}"/>
    <cellStyle name="Comma 4 4 2 5 3" xfId="5866" xr:uid="{00000000-0005-0000-0000-0000F1090000}"/>
    <cellStyle name="Comma 4 4 2 5 3 2" xfId="14308" xr:uid="{BF4ADA9A-B13E-4F03-A3AD-A5A03BD77689}"/>
    <cellStyle name="Comma 4 4 2 5 4" xfId="10090" xr:uid="{71E186C7-F8A8-4535-9D81-2266A03781A8}"/>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5B95387E-4DD0-449E-BCA2-43FA63DD32F7}"/>
    <cellStyle name="Comma 4 4 2 6 2 3" xfId="12648" xr:uid="{2E362A74-FCAC-40FC-8D7F-3FB3D6203168}"/>
    <cellStyle name="Comma 4 4 2 6 3" xfId="6279" xr:uid="{00000000-0005-0000-0000-0000F5090000}"/>
    <cellStyle name="Comma 4 4 2 6 3 2" xfId="14721" xr:uid="{BAD14F84-5BDD-476F-B4A1-0E0711FA7612}"/>
    <cellStyle name="Comma 4 4 2 6 4" xfId="10503" xr:uid="{7CD1D92A-8D1A-47CB-A2FD-16FBDEC2387D}"/>
    <cellStyle name="Comma 4 4 2 7" xfId="2407" xr:uid="{00000000-0005-0000-0000-0000F6090000}"/>
    <cellStyle name="Comma 4 4 2 7 2" xfId="6692" xr:uid="{00000000-0005-0000-0000-0000F7090000}"/>
    <cellStyle name="Comma 4 4 2 7 2 2" xfId="15134" xr:uid="{F06CC971-F4DC-468A-8D51-33EE6552243D}"/>
    <cellStyle name="Comma 4 4 2 7 3" xfId="10916" xr:uid="{C7FD01DB-8A40-40B0-AF83-25D23E96210D}"/>
    <cellStyle name="Comma 4 4 2 8" xfId="2703" xr:uid="{00000000-0005-0000-0000-0000F8090000}"/>
    <cellStyle name="Comma 4 4 2 9" xfId="2785" xr:uid="{00000000-0005-0000-0000-0000F9090000}"/>
    <cellStyle name="Comma 4 4 2 9 2" xfId="7009" xr:uid="{00000000-0005-0000-0000-0000FA090000}"/>
    <cellStyle name="Comma 4 4 2 9 2 2" xfId="15451" xr:uid="{123ED0A9-11F6-49E6-A722-AD132F62B3F6}"/>
    <cellStyle name="Comma 4 4 2 9 3" xfId="11233" xr:uid="{5EA6FE41-E2D8-48C7-8383-4811BCD94AE4}"/>
    <cellStyle name="Comma 4 4 3" xfId="156" xr:uid="{00000000-0005-0000-0000-0000FB090000}"/>
    <cellStyle name="Comma 4 4 3 10" xfId="8852" xr:uid="{7E0E9F88-D517-4388-847C-10685781236E}"/>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53FDA2A8-ED31-4642-9F70-407C9FF5853E}"/>
    <cellStyle name="Comma 4 4 3 2 2 3" xfId="11411" xr:uid="{F8465631-3AE6-4B5C-82AE-44C368EE37ED}"/>
    <cellStyle name="Comma 4 4 3 2 3" xfId="5042" xr:uid="{00000000-0005-0000-0000-0000FF090000}"/>
    <cellStyle name="Comma 4 4 3 2 3 2" xfId="13484" xr:uid="{97819B8C-3A4C-4FF1-AD4C-913CD6E85204}"/>
    <cellStyle name="Comma 4 4 3 2 4" xfId="9266" xr:uid="{FB4ED55C-2A7F-472F-A0AF-E7B0838017B5}"/>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9DF6B4EE-AE2C-42CA-89E4-0C27BDF5801D}"/>
    <cellStyle name="Comma 4 4 3 3 2 3" xfId="11824" xr:uid="{FBF84015-F370-4B41-A675-CB8994B0EBE7}"/>
    <cellStyle name="Comma 4 4 3 3 3" xfId="5455" xr:uid="{00000000-0005-0000-0000-0000030A0000}"/>
    <cellStyle name="Comma 4 4 3 3 3 2" xfId="13897" xr:uid="{B6E7E086-1161-419E-AD51-F61D4A9F75D7}"/>
    <cellStyle name="Comma 4 4 3 3 4" xfId="9679" xr:uid="{5D5D784E-8D64-4D82-B8A9-8A0A77A73662}"/>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C03E485A-B498-408E-B2EC-FE18F349A158}"/>
    <cellStyle name="Comma 4 4 3 4 2 3" xfId="12237" xr:uid="{359F9D39-9A7A-43DE-BCAA-333D978C23B2}"/>
    <cellStyle name="Comma 4 4 3 4 3" xfId="5868" xr:uid="{00000000-0005-0000-0000-0000070A0000}"/>
    <cellStyle name="Comma 4 4 3 4 3 2" xfId="14310" xr:uid="{3289D62B-534C-4B5A-994F-B8B5C90678D0}"/>
    <cellStyle name="Comma 4 4 3 4 4" xfId="10092" xr:uid="{13288D8D-ED21-4CD5-889F-49ED39916553}"/>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6DB49080-D002-4E39-AD11-9A52A3D7DDEA}"/>
    <cellStyle name="Comma 4 4 3 5 2 3" xfId="12650" xr:uid="{577A0C92-3198-41E9-9BE0-CC19BDD345CF}"/>
    <cellStyle name="Comma 4 4 3 5 3" xfId="6281" xr:uid="{00000000-0005-0000-0000-00000B0A0000}"/>
    <cellStyle name="Comma 4 4 3 5 3 2" xfId="14723" xr:uid="{FB8BD331-6B30-4EA6-ABA8-BE50E7EC5C3D}"/>
    <cellStyle name="Comma 4 4 3 5 4" xfId="10505" xr:uid="{3C9C6BEC-7D06-45FA-83E6-F6D9082C42BD}"/>
    <cellStyle name="Comma 4 4 3 6" xfId="2409" xr:uid="{00000000-0005-0000-0000-00000C0A0000}"/>
    <cellStyle name="Comma 4 4 3 6 2" xfId="6694" xr:uid="{00000000-0005-0000-0000-00000D0A0000}"/>
    <cellStyle name="Comma 4 4 3 6 2 2" xfId="15136" xr:uid="{CED909A5-DA9D-4465-AF8E-3B797A2A58B2}"/>
    <cellStyle name="Comma 4 4 3 6 3" xfId="10918" xr:uid="{8A47A4C8-F672-4014-BBA4-D37F564835F0}"/>
    <cellStyle name="Comma 4 4 3 7" xfId="2705" xr:uid="{00000000-0005-0000-0000-00000E0A0000}"/>
    <cellStyle name="Comma 4 4 3 8" xfId="2787" xr:uid="{00000000-0005-0000-0000-00000F0A0000}"/>
    <cellStyle name="Comma 4 4 3 8 2" xfId="7011" xr:uid="{00000000-0005-0000-0000-0000100A0000}"/>
    <cellStyle name="Comma 4 4 3 8 2 2" xfId="15453" xr:uid="{506E6A60-FF3B-4DAF-B429-C92A5529D501}"/>
    <cellStyle name="Comma 4 4 3 8 3" xfId="11235" xr:uid="{F03DB83A-92FA-4A9D-870E-6A298B093EAB}"/>
    <cellStyle name="Comma 4 4 3 9" xfId="4628" xr:uid="{00000000-0005-0000-0000-0000110A0000}"/>
    <cellStyle name="Comma 4 4 3 9 2" xfId="13070" xr:uid="{DA272938-7A83-42FC-A690-F7034206B888}"/>
    <cellStyle name="Comma 4 4 4" xfId="690" xr:uid="{00000000-0005-0000-0000-0000120A0000}"/>
    <cellStyle name="Comma 4 4 4 2" xfId="2961" xr:uid="{00000000-0005-0000-0000-0000130A0000}"/>
    <cellStyle name="Comma 4 4 4 2 2" xfId="7184" xr:uid="{00000000-0005-0000-0000-0000140A0000}"/>
    <cellStyle name="Comma 4 4 4 2 2 2" xfId="15626" xr:uid="{116ED23F-1566-438A-8572-7E35E072D92D}"/>
    <cellStyle name="Comma 4 4 4 2 3" xfId="11408" xr:uid="{60F5413D-D5C7-43D6-A49A-39C8ACBB8024}"/>
    <cellStyle name="Comma 4 4 4 3" xfId="5039" xr:uid="{00000000-0005-0000-0000-0000150A0000}"/>
    <cellStyle name="Comma 4 4 4 3 2" xfId="13481" xr:uid="{414E9690-CE69-4DC1-90C0-5E02103136D2}"/>
    <cellStyle name="Comma 4 4 4 4" xfId="9263" xr:uid="{21C388F0-DC5B-409E-8354-9F4EE0AB9C40}"/>
    <cellStyle name="Comma 4 4 5" xfId="1143" xr:uid="{00000000-0005-0000-0000-0000160A0000}"/>
    <cellStyle name="Comma 4 4 5 2" xfId="3374" xr:uid="{00000000-0005-0000-0000-0000170A0000}"/>
    <cellStyle name="Comma 4 4 5 2 2" xfId="7597" xr:uid="{00000000-0005-0000-0000-0000180A0000}"/>
    <cellStyle name="Comma 4 4 5 2 2 2" xfId="16039" xr:uid="{FC165BE0-A0B6-4734-B79F-B87FCEDADC1D}"/>
    <cellStyle name="Comma 4 4 5 2 3" xfId="11821" xr:uid="{D8F4D8FB-6CAF-43C9-B4C5-691C4DEA8936}"/>
    <cellStyle name="Comma 4 4 5 3" xfId="5452" xr:uid="{00000000-0005-0000-0000-0000190A0000}"/>
    <cellStyle name="Comma 4 4 5 3 2" xfId="13894" xr:uid="{2D420A85-1D1D-4C71-865B-E9876D2232F5}"/>
    <cellStyle name="Comma 4 4 5 4" xfId="9676" xr:uid="{51DDCF3D-7FD3-4F5F-8F19-C9F9C3A0F8E3}"/>
    <cellStyle name="Comma 4 4 6" xfId="1557" xr:uid="{00000000-0005-0000-0000-00001A0A0000}"/>
    <cellStyle name="Comma 4 4 6 2" xfId="3787" xr:uid="{00000000-0005-0000-0000-00001B0A0000}"/>
    <cellStyle name="Comma 4 4 6 2 2" xfId="8010" xr:uid="{00000000-0005-0000-0000-00001C0A0000}"/>
    <cellStyle name="Comma 4 4 6 2 2 2" xfId="16452" xr:uid="{39DC0064-9634-414E-A9E6-E3F7213616FF}"/>
    <cellStyle name="Comma 4 4 6 2 3" xfId="12234" xr:uid="{2E09E13C-E627-4313-825E-BA23E60D0BB5}"/>
    <cellStyle name="Comma 4 4 6 3" xfId="5865" xr:uid="{00000000-0005-0000-0000-00001D0A0000}"/>
    <cellStyle name="Comma 4 4 6 3 2" xfId="14307" xr:uid="{30D7D6B2-6FC3-4BF3-ACB5-A8400AD7CFDD}"/>
    <cellStyle name="Comma 4 4 6 4" xfId="10089" xr:uid="{41ABC58A-5DF0-4D12-9B0A-A22DBC5B537E}"/>
    <cellStyle name="Comma 4 4 7" xfId="1971" xr:uid="{00000000-0005-0000-0000-00001E0A0000}"/>
    <cellStyle name="Comma 4 4 7 2" xfId="4200" xr:uid="{00000000-0005-0000-0000-00001F0A0000}"/>
    <cellStyle name="Comma 4 4 7 2 2" xfId="8423" xr:uid="{00000000-0005-0000-0000-0000200A0000}"/>
    <cellStyle name="Comma 4 4 7 2 2 2" xfId="16865" xr:uid="{EF173588-9CC4-41C4-B5A3-71754A20AA82}"/>
    <cellStyle name="Comma 4 4 7 2 3" xfId="12647" xr:uid="{E3FE38E4-1218-4525-BA15-375DD37467AA}"/>
    <cellStyle name="Comma 4 4 7 3" xfId="6278" xr:uid="{00000000-0005-0000-0000-0000210A0000}"/>
    <cellStyle name="Comma 4 4 7 3 2" xfId="14720" xr:uid="{69F04930-E7C0-4ACC-8C03-73FD89E9CDFB}"/>
    <cellStyle name="Comma 4 4 7 4" xfId="10502" xr:uid="{ADBD8C0E-DACB-4D18-B9C5-D0E95FEEC9FB}"/>
    <cellStyle name="Comma 4 4 8" xfId="2406" xr:uid="{00000000-0005-0000-0000-0000220A0000}"/>
    <cellStyle name="Comma 4 4 8 2" xfId="6691" xr:uid="{00000000-0005-0000-0000-0000230A0000}"/>
    <cellStyle name="Comma 4 4 8 2 2" xfId="15133" xr:uid="{9671D1E2-C399-4C4B-A129-C94F12219C6B}"/>
    <cellStyle name="Comma 4 4 8 3" xfId="10915" xr:uid="{B8E9122C-681C-4FF0-A2BC-296A4D825519}"/>
    <cellStyle name="Comma 4 4 9" xfId="2702" xr:uid="{00000000-0005-0000-0000-0000240A0000}"/>
    <cellStyle name="Comma 4 5" xfId="157" xr:uid="{00000000-0005-0000-0000-0000250A0000}"/>
    <cellStyle name="Comma 4 5 10" xfId="4629" xr:uid="{00000000-0005-0000-0000-0000260A0000}"/>
    <cellStyle name="Comma 4 5 10 2" xfId="13071" xr:uid="{D03A5B3B-B165-414C-B92B-6E08D18EE76B}"/>
    <cellStyle name="Comma 4 5 11" xfId="8853" xr:uid="{08EF78C3-DE25-4575-91F1-3EEAADBEC4BA}"/>
    <cellStyle name="Comma 4 5 2" xfId="158" xr:uid="{00000000-0005-0000-0000-0000270A0000}"/>
    <cellStyle name="Comma 4 5 2 10" xfId="8854" xr:uid="{A2840EB2-3865-47D4-A0E0-25A0CAB0BDB2}"/>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3C83C467-5FFB-4AFF-A107-DD5EF7ECD089}"/>
    <cellStyle name="Comma 4 5 2 2 2 3" xfId="11413" xr:uid="{0E8F7D4D-CB11-46B2-9EB5-70FFA94105BF}"/>
    <cellStyle name="Comma 4 5 2 2 3" xfId="5044" xr:uid="{00000000-0005-0000-0000-00002B0A0000}"/>
    <cellStyle name="Comma 4 5 2 2 3 2" xfId="13486" xr:uid="{D6DD4031-8C59-405A-ACB7-C6D4BB968879}"/>
    <cellStyle name="Comma 4 5 2 2 4" xfId="9268" xr:uid="{B6558C45-A531-4ED0-9DFF-B4C08D092626}"/>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A27D379A-783A-43AF-A184-8E9771E16CD1}"/>
    <cellStyle name="Comma 4 5 2 3 2 3" xfId="11826" xr:uid="{6E83D8A3-4CFF-4D51-A65C-45B81DF72A1E}"/>
    <cellStyle name="Comma 4 5 2 3 3" xfId="5457" xr:uid="{00000000-0005-0000-0000-00002F0A0000}"/>
    <cellStyle name="Comma 4 5 2 3 3 2" xfId="13899" xr:uid="{97329027-A073-4C81-96CD-B1450EC7612B}"/>
    <cellStyle name="Comma 4 5 2 3 4" xfId="9681" xr:uid="{B94AB703-3440-4FCE-B94D-4D448D920895}"/>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170BC690-4BE3-40E5-9B8F-FF81E819F299}"/>
    <cellStyle name="Comma 4 5 2 4 2 3" xfId="12239" xr:uid="{48B54AC9-2186-4E90-9B73-CC4179EB03C1}"/>
    <cellStyle name="Comma 4 5 2 4 3" xfId="5870" xr:uid="{00000000-0005-0000-0000-0000330A0000}"/>
    <cellStyle name="Comma 4 5 2 4 3 2" xfId="14312" xr:uid="{BBC73A84-394A-4B79-B446-5608988C6848}"/>
    <cellStyle name="Comma 4 5 2 4 4" xfId="10094" xr:uid="{105FE0E1-51BE-46FD-8581-C848B97E59EC}"/>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A3E41ABB-C828-4245-9546-55D58662F5D5}"/>
    <cellStyle name="Comma 4 5 2 5 2 3" xfId="12652" xr:uid="{C58CABEE-ADE9-40C4-809B-0C62C303F5DC}"/>
    <cellStyle name="Comma 4 5 2 5 3" xfId="6283" xr:uid="{00000000-0005-0000-0000-0000370A0000}"/>
    <cellStyle name="Comma 4 5 2 5 3 2" xfId="14725" xr:uid="{8386EF2B-A1CC-47BE-A550-4E57A2DCDC81}"/>
    <cellStyle name="Comma 4 5 2 5 4" xfId="10507" xr:uid="{D8EAA94A-B41C-47E1-823D-3C2B057B3B9D}"/>
    <cellStyle name="Comma 4 5 2 6" xfId="2411" xr:uid="{00000000-0005-0000-0000-0000380A0000}"/>
    <cellStyle name="Comma 4 5 2 6 2" xfId="6696" xr:uid="{00000000-0005-0000-0000-0000390A0000}"/>
    <cellStyle name="Comma 4 5 2 6 2 2" xfId="15138" xr:uid="{03769E40-C050-4C43-895D-FD8D02428F49}"/>
    <cellStyle name="Comma 4 5 2 6 3" xfId="10920" xr:uid="{10DA4740-2444-4F64-854F-D5DD1869029B}"/>
    <cellStyle name="Comma 4 5 2 7" xfId="2707" xr:uid="{00000000-0005-0000-0000-00003A0A0000}"/>
    <cellStyle name="Comma 4 5 2 8" xfId="2789" xr:uid="{00000000-0005-0000-0000-00003B0A0000}"/>
    <cellStyle name="Comma 4 5 2 8 2" xfId="7013" xr:uid="{00000000-0005-0000-0000-00003C0A0000}"/>
    <cellStyle name="Comma 4 5 2 8 2 2" xfId="15455" xr:uid="{067BF438-5A9F-4B45-AD59-F35A90861A4B}"/>
    <cellStyle name="Comma 4 5 2 8 3" xfId="11237" xr:uid="{948D75AC-19E0-441E-B601-C659272EF5CF}"/>
    <cellStyle name="Comma 4 5 2 9" xfId="4630" xr:uid="{00000000-0005-0000-0000-00003D0A0000}"/>
    <cellStyle name="Comma 4 5 2 9 2" xfId="13072" xr:uid="{E1E2886A-05E7-4B88-B118-69D1275FBA91}"/>
    <cellStyle name="Comma 4 5 3" xfId="694" xr:uid="{00000000-0005-0000-0000-00003E0A0000}"/>
    <cellStyle name="Comma 4 5 3 2" xfId="2965" xr:uid="{00000000-0005-0000-0000-00003F0A0000}"/>
    <cellStyle name="Comma 4 5 3 2 2" xfId="7188" xr:uid="{00000000-0005-0000-0000-0000400A0000}"/>
    <cellStyle name="Comma 4 5 3 2 2 2" xfId="15630" xr:uid="{C3CDADCF-5752-4B12-838E-5E781A8F24B4}"/>
    <cellStyle name="Comma 4 5 3 2 3" xfId="11412" xr:uid="{8D18A3C7-EA2C-470A-931B-354E7B91A12F}"/>
    <cellStyle name="Comma 4 5 3 3" xfId="5043" xr:uid="{00000000-0005-0000-0000-0000410A0000}"/>
    <cellStyle name="Comma 4 5 3 3 2" xfId="13485" xr:uid="{4293570F-1F95-4D65-B3FB-2DF03178EDFE}"/>
    <cellStyle name="Comma 4 5 3 4" xfId="9267" xr:uid="{B51853D3-BE66-43A3-B517-F7872B51B4B5}"/>
    <cellStyle name="Comma 4 5 4" xfId="1147" xr:uid="{00000000-0005-0000-0000-0000420A0000}"/>
    <cellStyle name="Comma 4 5 4 2" xfId="3378" xr:uid="{00000000-0005-0000-0000-0000430A0000}"/>
    <cellStyle name="Comma 4 5 4 2 2" xfId="7601" xr:uid="{00000000-0005-0000-0000-0000440A0000}"/>
    <cellStyle name="Comma 4 5 4 2 2 2" xfId="16043" xr:uid="{31CDA4EF-98D4-43DE-A287-CF7A3DA3B012}"/>
    <cellStyle name="Comma 4 5 4 2 3" xfId="11825" xr:uid="{075A2AFC-8E72-4F7B-A370-95034EC59A44}"/>
    <cellStyle name="Comma 4 5 4 3" xfId="5456" xr:uid="{00000000-0005-0000-0000-0000450A0000}"/>
    <cellStyle name="Comma 4 5 4 3 2" xfId="13898" xr:uid="{F5FDCA7F-BA13-4A82-B94E-95D103CD648D}"/>
    <cellStyle name="Comma 4 5 4 4" xfId="9680" xr:uid="{3DE7C362-00BF-4C69-B8A9-4FAAB5D0F84D}"/>
    <cellStyle name="Comma 4 5 5" xfId="1561" xr:uid="{00000000-0005-0000-0000-0000460A0000}"/>
    <cellStyle name="Comma 4 5 5 2" xfId="3791" xr:uid="{00000000-0005-0000-0000-0000470A0000}"/>
    <cellStyle name="Comma 4 5 5 2 2" xfId="8014" xr:uid="{00000000-0005-0000-0000-0000480A0000}"/>
    <cellStyle name="Comma 4 5 5 2 2 2" xfId="16456" xr:uid="{E674C562-AA9E-47D4-9494-DC0BFDA9C7B1}"/>
    <cellStyle name="Comma 4 5 5 2 3" xfId="12238" xr:uid="{E8D5ACB2-B45B-46CC-978C-99C41356EC1F}"/>
    <cellStyle name="Comma 4 5 5 3" xfId="5869" xr:uid="{00000000-0005-0000-0000-0000490A0000}"/>
    <cellStyle name="Comma 4 5 5 3 2" xfId="14311" xr:uid="{5C98D3B0-2EF0-48D6-9A5B-1F72F890A2E2}"/>
    <cellStyle name="Comma 4 5 5 4" xfId="10093" xr:uid="{EFB2445A-BF8C-4D3A-B737-799CA72166AC}"/>
    <cellStyle name="Comma 4 5 6" xfId="1975" xr:uid="{00000000-0005-0000-0000-00004A0A0000}"/>
    <cellStyle name="Comma 4 5 6 2" xfId="4204" xr:uid="{00000000-0005-0000-0000-00004B0A0000}"/>
    <cellStyle name="Comma 4 5 6 2 2" xfId="8427" xr:uid="{00000000-0005-0000-0000-00004C0A0000}"/>
    <cellStyle name="Comma 4 5 6 2 2 2" xfId="16869" xr:uid="{ABF981E8-8A01-4E80-B34F-992A8D5D92CD}"/>
    <cellStyle name="Comma 4 5 6 2 3" xfId="12651" xr:uid="{469F751D-EFB4-4979-A6E7-83BB3DF7F6F4}"/>
    <cellStyle name="Comma 4 5 6 3" xfId="6282" xr:uid="{00000000-0005-0000-0000-00004D0A0000}"/>
    <cellStyle name="Comma 4 5 6 3 2" xfId="14724" xr:uid="{FB999D0C-C0CF-4D26-8EB3-87AF66C287EC}"/>
    <cellStyle name="Comma 4 5 6 4" xfId="10506" xr:uid="{686320D1-1D39-46A7-831F-7F6B9B132F64}"/>
    <cellStyle name="Comma 4 5 7" xfId="2410" xr:uid="{00000000-0005-0000-0000-00004E0A0000}"/>
    <cellStyle name="Comma 4 5 7 2" xfId="6695" xr:uid="{00000000-0005-0000-0000-00004F0A0000}"/>
    <cellStyle name="Comma 4 5 7 2 2" xfId="15137" xr:uid="{856FA2E3-016E-4BFC-969E-08A4F744494E}"/>
    <cellStyle name="Comma 4 5 7 3" xfId="10919" xr:uid="{CCBCAE3A-59C5-45CE-A8B9-02A32198A550}"/>
    <cellStyle name="Comma 4 5 8" xfId="2706" xr:uid="{00000000-0005-0000-0000-0000500A0000}"/>
    <cellStyle name="Comma 4 5 9" xfId="2788" xr:uid="{00000000-0005-0000-0000-0000510A0000}"/>
    <cellStyle name="Comma 4 5 9 2" xfId="7012" xr:uid="{00000000-0005-0000-0000-0000520A0000}"/>
    <cellStyle name="Comma 4 5 9 2 2" xfId="15454" xr:uid="{51D7FFCE-1901-49D2-81D2-DB1B8FAFBF82}"/>
    <cellStyle name="Comma 4 5 9 3" xfId="11236" xr:uid="{FF7732C4-0003-4911-8590-EF200DCDFE71}"/>
    <cellStyle name="Comma 4 6" xfId="159" xr:uid="{00000000-0005-0000-0000-0000530A0000}"/>
    <cellStyle name="Comma 4 6 10" xfId="8855" xr:uid="{1887F544-4180-47CE-9C14-38FD633ACDCA}"/>
    <cellStyle name="Comma 4 6 2" xfId="696" xr:uid="{00000000-0005-0000-0000-0000540A0000}"/>
    <cellStyle name="Comma 4 6 2 2" xfId="2967" xr:uid="{00000000-0005-0000-0000-0000550A0000}"/>
    <cellStyle name="Comma 4 6 2 2 2" xfId="7190" xr:uid="{00000000-0005-0000-0000-0000560A0000}"/>
    <cellStyle name="Comma 4 6 2 2 2 2" xfId="15632" xr:uid="{54DCF1F6-99A0-40CF-80A2-99137D453761}"/>
    <cellStyle name="Comma 4 6 2 2 3" xfId="11414" xr:uid="{110A9B17-A435-4680-BA0B-3677F42E0DA4}"/>
    <cellStyle name="Comma 4 6 2 3" xfId="5045" xr:uid="{00000000-0005-0000-0000-0000570A0000}"/>
    <cellStyle name="Comma 4 6 2 3 2" xfId="13487" xr:uid="{149B49A2-40CD-4BAF-9AAE-512816FDDA83}"/>
    <cellStyle name="Comma 4 6 2 4" xfId="9269" xr:uid="{45986D38-3A83-449B-85A3-69CD59201C64}"/>
    <cellStyle name="Comma 4 6 3" xfId="1149" xr:uid="{00000000-0005-0000-0000-0000580A0000}"/>
    <cellStyle name="Comma 4 6 3 2" xfId="3380" xr:uid="{00000000-0005-0000-0000-0000590A0000}"/>
    <cellStyle name="Comma 4 6 3 2 2" xfId="7603" xr:uid="{00000000-0005-0000-0000-00005A0A0000}"/>
    <cellStyle name="Comma 4 6 3 2 2 2" xfId="16045" xr:uid="{AB055C54-E3B7-4EDD-B8F6-EA45034554C2}"/>
    <cellStyle name="Comma 4 6 3 2 3" xfId="11827" xr:uid="{95D7E049-BC5E-4138-A1DC-D65CFE7DEC0E}"/>
    <cellStyle name="Comma 4 6 3 3" xfId="5458" xr:uid="{00000000-0005-0000-0000-00005B0A0000}"/>
    <cellStyle name="Comma 4 6 3 3 2" xfId="13900" xr:uid="{98EEC4F4-DA5E-41E7-90B0-7B2EB3B070BC}"/>
    <cellStyle name="Comma 4 6 3 4" xfId="9682" xr:uid="{9678ED43-8B35-4033-9F48-CFE1B40E5D7F}"/>
    <cellStyle name="Comma 4 6 4" xfId="1563" xr:uid="{00000000-0005-0000-0000-00005C0A0000}"/>
    <cellStyle name="Comma 4 6 4 2" xfId="3793" xr:uid="{00000000-0005-0000-0000-00005D0A0000}"/>
    <cellStyle name="Comma 4 6 4 2 2" xfId="8016" xr:uid="{00000000-0005-0000-0000-00005E0A0000}"/>
    <cellStyle name="Comma 4 6 4 2 2 2" xfId="16458" xr:uid="{A68A16CB-C613-45F4-9E4D-DD5461F00D36}"/>
    <cellStyle name="Comma 4 6 4 2 3" xfId="12240" xr:uid="{70FD48F3-A285-46BA-9D18-CC72DE7E596D}"/>
    <cellStyle name="Comma 4 6 4 3" xfId="5871" xr:uid="{00000000-0005-0000-0000-00005F0A0000}"/>
    <cellStyle name="Comma 4 6 4 3 2" xfId="14313" xr:uid="{4F9AF2C2-B50B-41C5-98C2-F79C669890FF}"/>
    <cellStyle name="Comma 4 6 4 4" xfId="10095" xr:uid="{C6E0B460-71E0-43E7-9097-EED66C565EC0}"/>
    <cellStyle name="Comma 4 6 5" xfId="1977" xr:uid="{00000000-0005-0000-0000-0000600A0000}"/>
    <cellStyle name="Comma 4 6 5 2" xfId="4206" xr:uid="{00000000-0005-0000-0000-0000610A0000}"/>
    <cellStyle name="Comma 4 6 5 2 2" xfId="8429" xr:uid="{00000000-0005-0000-0000-0000620A0000}"/>
    <cellStyle name="Comma 4 6 5 2 2 2" xfId="16871" xr:uid="{30EFF4A4-9670-441E-9F4B-4C3CAA7F89A1}"/>
    <cellStyle name="Comma 4 6 5 2 3" xfId="12653" xr:uid="{CCEB2B45-4743-4956-B2A5-02360A8C45E0}"/>
    <cellStyle name="Comma 4 6 5 3" xfId="6284" xr:uid="{00000000-0005-0000-0000-0000630A0000}"/>
    <cellStyle name="Comma 4 6 5 3 2" xfId="14726" xr:uid="{E4C45B7F-F7A0-4ADA-8022-8F1060DE6691}"/>
    <cellStyle name="Comma 4 6 5 4" xfId="10508" xr:uid="{C74862EC-DBBF-4526-8B35-B58E942406D8}"/>
    <cellStyle name="Comma 4 6 6" xfId="2412" xr:uid="{00000000-0005-0000-0000-0000640A0000}"/>
    <cellStyle name="Comma 4 6 6 2" xfId="6697" xr:uid="{00000000-0005-0000-0000-0000650A0000}"/>
    <cellStyle name="Comma 4 6 6 2 2" xfId="15139" xr:uid="{2AF0FE5A-2D32-40A6-B5A7-FECBF14627E7}"/>
    <cellStyle name="Comma 4 6 6 3" xfId="10921" xr:uid="{C0E2E792-E783-463B-8F10-D2472AA84D8D}"/>
    <cellStyle name="Comma 4 6 7" xfId="2708" xr:uid="{00000000-0005-0000-0000-0000660A0000}"/>
    <cellStyle name="Comma 4 6 8" xfId="2790" xr:uid="{00000000-0005-0000-0000-0000670A0000}"/>
    <cellStyle name="Comma 4 6 8 2" xfId="7014" xr:uid="{00000000-0005-0000-0000-0000680A0000}"/>
    <cellStyle name="Comma 4 6 8 2 2" xfId="15456" xr:uid="{1D8BF7B9-4CBD-4E29-B60E-1B5F59940EA9}"/>
    <cellStyle name="Comma 4 6 8 3" xfId="11238" xr:uid="{679886C5-9F78-4854-9891-D08B7E2C1C3A}"/>
    <cellStyle name="Comma 4 6 9" xfId="4631" xr:uid="{00000000-0005-0000-0000-0000690A0000}"/>
    <cellStyle name="Comma 4 6 9 2" xfId="13073" xr:uid="{9A02A3DE-2D96-4C98-93B0-675854F769E0}"/>
    <cellStyle name="Comma 4 7" xfId="160" xr:uid="{00000000-0005-0000-0000-00006A0A0000}"/>
    <cellStyle name="Comma 4 7 10" xfId="8856" xr:uid="{62ADC9F6-469E-4E73-B5AF-6E0B60B43BC4}"/>
    <cellStyle name="Comma 4 7 2" xfId="697" xr:uid="{00000000-0005-0000-0000-00006B0A0000}"/>
    <cellStyle name="Comma 4 7 2 2" xfId="2968" xr:uid="{00000000-0005-0000-0000-00006C0A0000}"/>
    <cellStyle name="Comma 4 7 2 2 2" xfId="7191" xr:uid="{00000000-0005-0000-0000-00006D0A0000}"/>
    <cellStyle name="Comma 4 7 2 2 2 2" xfId="15633" xr:uid="{B268D6AC-93E4-4FF9-AA74-BC1277C96B2E}"/>
    <cellStyle name="Comma 4 7 2 2 3" xfId="11415" xr:uid="{2263B00D-09D3-4E4C-8178-2011E747A1B0}"/>
    <cellStyle name="Comma 4 7 2 3" xfId="5046" xr:uid="{00000000-0005-0000-0000-00006E0A0000}"/>
    <cellStyle name="Comma 4 7 2 3 2" xfId="13488" xr:uid="{B1E8C1E2-FFF7-4A3F-B9E5-8779C0FBA9FC}"/>
    <cellStyle name="Comma 4 7 2 4" xfId="9270" xr:uid="{1C26E2DA-D24C-4F83-ABE0-79D75DA027ED}"/>
    <cellStyle name="Comma 4 7 3" xfId="1150" xr:uid="{00000000-0005-0000-0000-00006F0A0000}"/>
    <cellStyle name="Comma 4 7 3 2" xfId="3381" xr:uid="{00000000-0005-0000-0000-0000700A0000}"/>
    <cellStyle name="Comma 4 7 3 2 2" xfId="7604" xr:uid="{00000000-0005-0000-0000-0000710A0000}"/>
    <cellStyle name="Comma 4 7 3 2 2 2" xfId="16046" xr:uid="{B768DC9A-2415-409F-A4A1-124BB516973A}"/>
    <cellStyle name="Comma 4 7 3 2 3" xfId="11828" xr:uid="{7355A198-361A-45EF-8E5F-F7FF836151D5}"/>
    <cellStyle name="Comma 4 7 3 3" xfId="5459" xr:uid="{00000000-0005-0000-0000-0000720A0000}"/>
    <cellStyle name="Comma 4 7 3 3 2" xfId="13901" xr:uid="{10BF9100-1EBF-46BB-A5AB-54907E110D9B}"/>
    <cellStyle name="Comma 4 7 3 4" xfId="9683" xr:uid="{C4BADE99-42B8-45B5-B3AA-0093571DE3CF}"/>
    <cellStyle name="Comma 4 7 4" xfId="1564" xr:uid="{00000000-0005-0000-0000-0000730A0000}"/>
    <cellStyle name="Comma 4 7 4 2" xfId="3794" xr:uid="{00000000-0005-0000-0000-0000740A0000}"/>
    <cellStyle name="Comma 4 7 4 2 2" xfId="8017" xr:uid="{00000000-0005-0000-0000-0000750A0000}"/>
    <cellStyle name="Comma 4 7 4 2 2 2" xfId="16459" xr:uid="{0D765E47-5A89-4745-8E7D-3B03DFF84BD5}"/>
    <cellStyle name="Comma 4 7 4 2 3" xfId="12241" xr:uid="{295BF52E-C4B8-4204-BB15-FBCC3646695F}"/>
    <cellStyle name="Comma 4 7 4 3" xfId="5872" xr:uid="{00000000-0005-0000-0000-0000760A0000}"/>
    <cellStyle name="Comma 4 7 4 3 2" xfId="14314" xr:uid="{FE065203-C004-4577-9AD0-12FBF4FD4ED8}"/>
    <cellStyle name="Comma 4 7 4 4" xfId="10096" xr:uid="{74AF08BB-C83F-417A-B133-4E6F495509D5}"/>
    <cellStyle name="Comma 4 7 5" xfId="1978" xr:uid="{00000000-0005-0000-0000-0000770A0000}"/>
    <cellStyle name="Comma 4 7 5 2" xfId="4207" xr:uid="{00000000-0005-0000-0000-0000780A0000}"/>
    <cellStyle name="Comma 4 7 5 2 2" xfId="8430" xr:uid="{00000000-0005-0000-0000-0000790A0000}"/>
    <cellStyle name="Comma 4 7 5 2 2 2" xfId="16872" xr:uid="{6E8854AC-17CE-44A9-862A-ECF4D9136293}"/>
    <cellStyle name="Comma 4 7 5 2 3" xfId="12654" xr:uid="{8997DB07-8248-46B0-89F3-B25ABEB033C2}"/>
    <cellStyle name="Comma 4 7 5 3" xfId="6285" xr:uid="{00000000-0005-0000-0000-00007A0A0000}"/>
    <cellStyle name="Comma 4 7 5 3 2" xfId="14727" xr:uid="{53795120-410F-4BF3-8FD6-7A3512A53AC4}"/>
    <cellStyle name="Comma 4 7 5 4" xfId="10509" xr:uid="{FB1D9BFF-00F9-4B0D-86D7-17ECBB260DEC}"/>
    <cellStyle name="Comma 4 7 6" xfId="2413" xr:uid="{00000000-0005-0000-0000-00007B0A0000}"/>
    <cellStyle name="Comma 4 7 6 2" xfId="6698" xr:uid="{00000000-0005-0000-0000-00007C0A0000}"/>
    <cellStyle name="Comma 4 7 6 2 2" xfId="15140" xr:uid="{D2DBEBDA-84D2-432B-B230-E5D59CB0D474}"/>
    <cellStyle name="Comma 4 7 6 3" xfId="10922" xr:uid="{594CFF75-5C7C-4682-9F78-C70D9CE10E80}"/>
    <cellStyle name="Comma 4 7 7" xfId="2709" xr:uid="{00000000-0005-0000-0000-00007D0A0000}"/>
    <cellStyle name="Comma 4 7 8" xfId="2791" xr:uid="{00000000-0005-0000-0000-00007E0A0000}"/>
    <cellStyle name="Comma 4 7 8 2" xfId="7015" xr:uid="{00000000-0005-0000-0000-00007F0A0000}"/>
    <cellStyle name="Comma 4 7 8 2 2" xfId="15457" xr:uid="{930B5A88-DEE0-4321-855F-8EE8C1F1A329}"/>
    <cellStyle name="Comma 4 7 8 3" xfId="11239" xr:uid="{0CDFA852-6D9C-42C8-A000-CD2C815F6739}"/>
    <cellStyle name="Comma 4 7 9" xfId="4632" xr:uid="{00000000-0005-0000-0000-0000800A0000}"/>
    <cellStyle name="Comma 4 7 9 2" xfId="13074" xr:uid="{7F109042-E92C-4A97-B85B-1AA421113E2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98DEF8B5-33DA-403A-A156-D6781236B056}"/>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A714BC70-1DE6-4F8F-871B-87D2B614C1EB}"/>
    <cellStyle name="Currency 14 3" xfId="8720" xr:uid="{729B09A7-2394-4D7C-912C-1471FB3455A3}"/>
    <cellStyle name="Currency 14 3 2" xfId="8724" xr:uid="{1945FB0F-31EC-4D98-B64C-BAFBADA341A1}"/>
    <cellStyle name="Currency 14 3 2 2" xfId="8727" xr:uid="{03BA8DEE-11D2-406B-B26D-8EE163916FB0}"/>
    <cellStyle name="Currency 14 3 2 3" xfId="17165" xr:uid="{8F190DB9-E9E0-4570-AAE9-5D76F115CA15}"/>
    <cellStyle name="Currency 14 3 3" xfId="17162" xr:uid="{E74D2B9C-0411-405A-A7A3-B10F18188833}"/>
    <cellStyle name="Currency 14 4" xfId="12945" xr:uid="{0CFF05F0-E70C-43A7-9236-7AF4A279FF7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0249B1A3-6BE7-40A5-9804-2BC821CCAE20}"/>
    <cellStyle name="Currency 3 2 2 10 3" xfId="11240" xr:uid="{BD5FC4A3-A8BC-4EDB-85CB-3611E06F0E19}"/>
    <cellStyle name="Currency 3 2 2 11" xfId="4633" xr:uid="{00000000-0005-0000-0000-0000A50A0000}"/>
    <cellStyle name="Currency 3 2 2 11 2" xfId="13075" xr:uid="{C67F4EBA-3FB5-48AE-AE3A-B2C87D8414B4}"/>
    <cellStyle name="Currency 3 2 2 12" xfId="8857" xr:uid="{9CB96B91-8BFC-4B85-BD5E-3153148FCD5C}"/>
    <cellStyle name="Currency 3 2 2 2" xfId="179" xr:uid="{00000000-0005-0000-0000-0000A60A0000}"/>
    <cellStyle name="Currency 3 2 2 2 10" xfId="4634" xr:uid="{00000000-0005-0000-0000-0000A70A0000}"/>
    <cellStyle name="Currency 3 2 2 2 10 2" xfId="13076" xr:uid="{9C5B945A-7BCD-4481-8D6B-15B78E90FAD6}"/>
    <cellStyle name="Currency 3 2 2 2 11" xfId="8858" xr:uid="{4C998AE4-C68F-4B9D-8D07-AEADEB3A1882}"/>
    <cellStyle name="Currency 3 2 2 2 2" xfId="180" xr:uid="{00000000-0005-0000-0000-0000A80A0000}"/>
    <cellStyle name="Currency 3 2 2 2 2 10" xfId="8859" xr:uid="{0564A210-DB69-4162-8273-A38F58A64D1D}"/>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707547EA-CC4E-4B4E-82ED-205676BFA9A6}"/>
    <cellStyle name="Currency 3 2 2 2 2 2 2 3" xfId="11418" xr:uid="{0D7FDBC3-EE4E-41AF-9D39-F761ED882D33}"/>
    <cellStyle name="Currency 3 2 2 2 2 2 3" xfId="5049" xr:uid="{00000000-0005-0000-0000-0000AC0A0000}"/>
    <cellStyle name="Currency 3 2 2 2 2 2 3 2" xfId="13491" xr:uid="{582CE1AA-7937-4C04-9936-1089687CE023}"/>
    <cellStyle name="Currency 3 2 2 2 2 2 4" xfId="9273" xr:uid="{234547D2-09FC-4751-AC92-6879761407C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59336B27-C553-4AFF-BFEB-0C95ACA47A6E}"/>
    <cellStyle name="Currency 3 2 2 2 2 3 2 3" xfId="11831" xr:uid="{F37CBEB7-0BA4-443C-9A20-91C832451A32}"/>
    <cellStyle name="Currency 3 2 2 2 2 3 3" xfId="5462" xr:uid="{00000000-0005-0000-0000-0000B00A0000}"/>
    <cellStyle name="Currency 3 2 2 2 2 3 3 2" xfId="13904" xr:uid="{4DBCA2AC-50B2-4C43-AF2F-963755925C5B}"/>
    <cellStyle name="Currency 3 2 2 2 2 3 4" xfId="9686" xr:uid="{FD8F4D0B-08A7-484F-91AE-7FC8C21413C4}"/>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D86C231F-C09A-4ADA-9088-0F6078846445}"/>
    <cellStyle name="Currency 3 2 2 2 2 4 2 3" xfId="12244" xr:uid="{2528A631-CCEF-4166-BDB6-D1250C9A9A24}"/>
    <cellStyle name="Currency 3 2 2 2 2 4 3" xfId="5875" xr:uid="{00000000-0005-0000-0000-0000B40A0000}"/>
    <cellStyle name="Currency 3 2 2 2 2 4 3 2" xfId="14317" xr:uid="{3F5F1B93-6DB4-40D5-8982-EC56B67EAB32}"/>
    <cellStyle name="Currency 3 2 2 2 2 4 4" xfId="10099" xr:uid="{56EBF37A-2760-44ED-8E43-9232E7BACDD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8A9B404D-1A44-40FF-9006-2B8240617C97}"/>
    <cellStyle name="Currency 3 2 2 2 2 5 2 3" xfId="12657" xr:uid="{5398FDB7-A1E5-435F-9A3A-5C734E861AEE}"/>
    <cellStyle name="Currency 3 2 2 2 2 5 3" xfId="6288" xr:uid="{00000000-0005-0000-0000-0000B80A0000}"/>
    <cellStyle name="Currency 3 2 2 2 2 5 3 2" xfId="14730" xr:uid="{70942257-3CD8-469C-BB0D-7E215440BDFA}"/>
    <cellStyle name="Currency 3 2 2 2 2 5 4" xfId="10512" xr:uid="{AD0D5D8E-E52B-4B03-9907-8A80B11CFB8C}"/>
    <cellStyle name="Currency 3 2 2 2 2 6" xfId="2416" xr:uid="{00000000-0005-0000-0000-0000B90A0000}"/>
    <cellStyle name="Currency 3 2 2 2 2 6 2" xfId="6701" xr:uid="{00000000-0005-0000-0000-0000BA0A0000}"/>
    <cellStyle name="Currency 3 2 2 2 2 6 2 2" xfId="15143" xr:uid="{52351F70-369F-4E20-8F6D-7EDF718B919F}"/>
    <cellStyle name="Currency 3 2 2 2 2 6 3" xfId="10925" xr:uid="{BFB2D3BA-BF16-4921-8CCA-50320A4B6D04}"/>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1C0D8E2C-8A43-4CB0-BD79-26F88166CF6A}"/>
    <cellStyle name="Currency 3 2 2 2 2 8 3" xfId="11242" xr:uid="{23797B9C-00AB-4B41-8425-2D568FA3F98B}"/>
    <cellStyle name="Currency 3 2 2 2 2 9" xfId="4635" xr:uid="{00000000-0005-0000-0000-0000BE0A0000}"/>
    <cellStyle name="Currency 3 2 2 2 2 9 2" xfId="13077" xr:uid="{6858834F-C151-456E-B268-E27843804D8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23674465-EDA1-4972-89C2-A67EEB39A291}"/>
    <cellStyle name="Currency 3 2 2 2 3 2 3" xfId="11417" xr:uid="{7211018A-35C6-4061-A397-AD110D5B2E80}"/>
    <cellStyle name="Currency 3 2 2 2 3 3" xfId="5048" xr:uid="{00000000-0005-0000-0000-0000C20A0000}"/>
    <cellStyle name="Currency 3 2 2 2 3 3 2" xfId="13490" xr:uid="{CE14A178-611B-428B-B7A2-5DF5878FD788}"/>
    <cellStyle name="Currency 3 2 2 2 3 4" xfId="9272" xr:uid="{3CBBD95C-8F87-4501-B84B-4B00BEF9694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DAE031EE-4642-46F8-9FD8-D95DDE943DBD}"/>
    <cellStyle name="Currency 3 2 2 2 4 2 3" xfId="11830" xr:uid="{47804A7C-E439-4F52-8258-B7AC44C14D50}"/>
    <cellStyle name="Currency 3 2 2 2 4 3" xfId="5461" xr:uid="{00000000-0005-0000-0000-0000C60A0000}"/>
    <cellStyle name="Currency 3 2 2 2 4 3 2" xfId="13903" xr:uid="{A74FA698-F117-4333-87A9-EA693FB7C03B}"/>
    <cellStyle name="Currency 3 2 2 2 4 4" xfId="9685" xr:uid="{893427DF-6938-4D1B-9543-69A429CDAEA7}"/>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1602A718-61A2-4AF4-97FB-4BA5A40E8920}"/>
    <cellStyle name="Currency 3 2 2 2 5 2 3" xfId="12243" xr:uid="{952040A5-66DF-4B24-87A4-33D714587FD7}"/>
    <cellStyle name="Currency 3 2 2 2 5 3" xfId="5874" xr:uid="{00000000-0005-0000-0000-0000CA0A0000}"/>
    <cellStyle name="Currency 3 2 2 2 5 3 2" xfId="14316" xr:uid="{12C8564E-7527-4750-B0D9-A82224664705}"/>
    <cellStyle name="Currency 3 2 2 2 5 4" xfId="10098" xr:uid="{06CCBA70-F2DE-41FF-8BB1-A890BF49F9E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676D0FC1-58E0-4334-B059-75CE9A473089}"/>
    <cellStyle name="Currency 3 2 2 2 6 2 3" xfId="12656" xr:uid="{96C63873-C305-4737-81D0-B848FFD0AA50}"/>
    <cellStyle name="Currency 3 2 2 2 6 3" xfId="6287" xr:uid="{00000000-0005-0000-0000-0000CE0A0000}"/>
    <cellStyle name="Currency 3 2 2 2 6 3 2" xfId="14729" xr:uid="{91CE200F-4B9A-419B-B5A5-4B00E645E8C2}"/>
    <cellStyle name="Currency 3 2 2 2 6 4" xfId="10511" xr:uid="{67AB1454-4AAB-4592-9990-58363DC63C39}"/>
    <cellStyle name="Currency 3 2 2 2 7" xfId="2415" xr:uid="{00000000-0005-0000-0000-0000CF0A0000}"/>
    <cellStyle name="Currency 3 2 2 2 7 2" xfId="6700" xr:uid="{00000000-0005-0000-0000-0000D00A0000}"/>
    <cellStyle name="Currency 3 2 2 2 7 2 2" xfId="15142" xr:uid="{BD840D6B-CB10-41FA-A8E2-0CB7DFF92F3E}"/>
    <cellStyle name="Currency 3 2 2 2 7 3" xfId="10924" xr:uid="{5B050027-5945-4EE1-956F-51CA25A3D34E}"/>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42D911F5-BD14-4097-9BFA-C2A154A4619C}"/>
    <cellStyle name="Currency 3 2 2 2 9 3" xfId="11241" xr:uid="{F52E43AE-C934-4A73-A8A0-48377ED72BA0}"/>
    <cellStyle name="Currency 3 2 2 3" xfId="181" xr:uid="{00000000-0005-0000-0000-0000D40A0000}"/>
    <cellStyle name="Currency 3 2 2 3 10" xfId="8860" xr:uid="{19C90541-3F83-49F0-8292-7DF776FBBB89}"/>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B3F8D59B-C2B9-42A3-B9FF-65CA3E8827DC}"/>
    <cellStyle name="Currency 3 2 2 3 2 2 3" xfId="11419" xr:uid="{759F2A8C-F145-41F3-939D-933F12DA5081}"/>
    <cellStyle name="Currency 3 2 2 3 2 3" xfId="5050" xr:uid="{00000000-0005-0000-0000-0000D80A0000}"/>
    <cellStyle name="Currency 3 2 2 3 2 3 2" xfId="13492" xr:uid="{30F74F50-8996-4BED-BA16-3A919DF57773}"/>
    <cellStyle name="Currency 3 2 2 3 2 4" xfId="9274" xr:uid="{BBEF98A1-46E2-4C54-9122-4ECBE94A444B}"/>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BE70B1EC-4451-4037-A8FF-1B0C09B0E5DD}"/>
    <cellStyle name="Currency 3 2 2 3 3 2 3" xfId="11832" xr:uid="{011E988E-E1B6-4FCC-9E1B-A482D93D0031}"/>
    <cellStyle name="Currency 3 2 2 3 3 3" xfId="5463" xr:uid="{00000000-0005-0000-0000-0000DC0A0000}"/>
    <cellStyle name="Currency 3 2 2 3 3 3 2" xfId="13905" xr:uid="{79D2F175-E083-409D-826B-D969D8427308}"/>
    <cellStyle name="Currency 3 2 2 3 3 4" xfId="9687" xr:uid="{CB333891-E754-4988-8973-AD2993D62B2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C8B248AB-AD0A-4B56-9C8D-CCBE73B072EA}"/>
    <cellStyle name="Currency 3 2 2 3 4 2 3" xfId="12245" xr:uid="{65D09547-5CF6-4262-AFB6-40E5EAB86905}"/>
    <cellStyle name="Currency 3 2 2 3 4 3" xfId="5876" xr:uid="{00000000-0005-0000-0000-0000E00A0000}"/>
    <cellStyle name="Currency 3 2 2 3 4 3 2" xfId="14318" xr:uid="{4A2ACC87-A0B2-4D99-872B-5ED2B90E5DB1}"/>
    <cellStyle name="Currency 3 2 2 3 4 4" xfId="10100" xr:uid="{3CBCBE98-9F6C-4FC7-8621-FFA362B1EF99}"/>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EB9DC331-EECE-4F29-BCEF-B9FA92F6A9DC}"/>
    <cellStyle name="Currency 3 2 2 3 5 2 3" xfId="12658" xr:uid="{D3850FEE-E475-4EF2-A56F-476108392426}"/>
    <cellStyle name="Currency 3 2 2 3 5 3" xfId="6289" xr:uid="{00000000-0005-0000-0000-0000E40A0000}"/>
    <cellStyle name="Currency 3 2 2 3 5 3 2" xfId="14731" xr:uid="{A40F6779-762F-48B5-B843-440511FAC30C}"/>
    <cellStyle name="Currency 3 2 2 3 5 4" xfId="10513" xr:uid="{5E80705D-12A0-43FE-9B8B-13D196BD657E}"/>
    <cellStyle name="Currency 3 2 2 3 6" xfId="2417" xr:uid="{00000000-0005-0000-0000-0000E50A0000}"/>
    <cellStyle name="Currency 3 2 2 3 6 2" xfId="6702" xr:uid="{00000000-0005-0000-0000-0000E60A0000}"/>
    <cellStyle name="Currency 3 2 2 3 6 2 2" xfId="15144" xr:uid="{0715EA27-FC90-4110-9886-98CC4834C552}"/>
    <cellStyle name="Currency 3 2 2 3 6 3" xfId="10926" xr:uid="{FEC5B940-165F-45FF-80D1-62F4C1F4D086}"/>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DA5EE35B-CCD8-46EA-B9F9-9F4E97E2D6A2}"/>
    <cellStyle name="Currency 3 2 2 3 8 3" xfId="11243" xr:uid="{4C434EF2-5722-44D6-BA8A-068150F0B4F4}"/>
    <cellStyle name="Currency 3 2 2 3 9" xfId="4636" xr:uid="{00000000-0005-0000-0000-0000EA0A0000}"/>
    <cellStyle name="Currency 3 2 2 3 9 2" xfId="13078" xr:uid="{29051B44-8890-47DC-BFE7-E4D290F2DCB3}"/>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EF893D07-49B2-4DBC-8515-5F294DE165C7}"/>
    <cellStyle name="Currency 3 2 2 4 2 3" xfId="11416" xr:uid="{F413F6C9-420A-41B2-8E0F-A64DAAE8C06D}"/>
    <cellStyle name="Currency 3 2 2 4 3" xfId="5047" xr:uid="{00000000-0005-0000-0000-0000EE0A0000}"/>
    <cellStyle name="Currency 3 2 2 4 3 2" xfId="13489" xr:uid="{482D2B98-D8F3-462F-9BFD-FBC59D471B02}"/>
    <cellStyle name="Currency 3 2 2 4 4" xfId="9271" xr:uid="{6DCE43A3-0706-49F7-AD1A-1CEC62973A09}"/>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B39A1AC7-DD5B-42B8-98DF-E959642B758C}"/>
    <cellStyle name="Currency 3 2 2 5 2 3" xfId="11829" xr:uid="{68E89C92-36CB-45CB-A911-8C149614391E}"/>
    <cellStyle name="Currency 3 2 2 5 3" xfId="5460" xr:uid="{00000000-0005-0000-0000-0000F20A0000}"/>
    <cellStyle name="Currency 3 2 2 5 3 2" xfId="13902" xr:uid="{EE79B6C5-F204-491F-8783-7BD4315CF2D1}"/>
    <cellStyle name="Currency 3 2 2 5 4" xfId="9684" xr:uid="{AD2A6DCA-5D0D-478F-84E7-61C2ADF377FD}"/>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41F64C19-74DE-4451-86DB-DCAD3B766113}"/>
    <cellStyle name="Currency 3 2 2 6 2 3" xfId="12242" xr:uid="{C7AF3C42-8CDA-495C-ADA6-900C2086DFC2}"/>
    <cellStyle name="Currency 3 2 2 6 3" xfId="5873" xr:uid="{00000000-0005-0000-0000-0000F60A0000}"/>
    <cellStyle name="Currency 3 2 2 6 3 2" xfId="14315" xr:uid="{4D1E3E54-F8D8-4C7F-99A1-61F8F24E8E70}"/>
    <cellStyle name="Currency 3 2 2 6 4" xfId="10097" xr:uid="{1CD52B54-E1E4-42C7-9DB7-11E0358DF25C}"/>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C173CB44-5025-45FA-9B45-273EDD386614}"/>
    <cellStyle name="Currency 3 2 2 7 2 3" xfId="12655" xr:uid="{29C29C79-FCAB-483F-B0AC-F1A76CFF253C}"/>
    <cellStyle name="Currency 3 2 2 7 3" xfId="6286" xr:uid="{00000000-0005-0000-0000-0000FA0A0000}"/>
    <cellStyle name="Currency 3 2 2 7 3 2" xfId="14728" xr:uid="{E333853C-EDA2-4502-8636-C3CB697EF9D3}"/>
    <cellStyle name="Currency 3 2 2 7 4" xfId="10510" xr:uid="{D7C0BAFF-1751-4EF2-AFFB-57C532A20473}"/>
    <cellStyle name="Currency 3 2 2 8" xfId="2414" xr:uid="{00000000-0005-0000-0000-0000FB0A0000}"/>
    <cellStyle name="Currency 3 2 2 8 2" xfId="6699" xr:uid="{00000000-0005-0000-0000-0000FC0A0000}"/>
    <cellStyle name="Currency 3 2 2 8 2 2" xfId="15141" xr:uid="{0AF1421F-9D11-4447-BEC9-E6997E63640C}"/>
    <cellStyle name="Currency 3 2 2 8 3" xfId="10923" xr:uid="{4C123686-40ED-4910-963A-B6BC0C59F8AD}"/>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D1B61673-D758-4899-8E2D-9F5EFBE157FE}"/>
    <cellStyle name="Currency 3 2 3 11" xfId="8861" xr:uid="{6512E55D-1331-44CB-AF79-26F7D79C7B50}"/>
    <cellStyle name="Currency 3 2 3 2" xfId="183" xr:uid="{00000000-0005-0000-0000-0000000B0000}"/>
    <cellStyle name="Currency 3 2 3 2 10" xfId="8862" xr:uid="{5B4A55E7-CE3F-4612-A216-A62E42D182E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44D54DEC-1B80-449C-A7B6-83E7139041EA}"/>
    <cellStyle name="Currency 3 2 3 2 2 2 3" xfId="11421" xr:uid="{913B8321-618B-4357-8F04-3F23118B91F6}"/>
    <cellStyle name="Currency 3 2 3 2 2 3" xfId="5052" xr:uid="{00000000-0005-0000-0000-0000040B0000}"/>
    <cellStyle name="Currency 3 2 3 2 2 3 2" xfId="13494" xr:uid="{2BF5DF59-F972-47D0-8807-6CBF329E937B}"/>
    <cellStyle name="Currency 3 2 3 2 2 4" xfId="9276" xr:uid="{3CB184E9-8CAE-4809-AC33-2DFB3FDFD4D1}"/>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2D3C586F-12D0-4361-AC34-B64ECFC0471D}"/>
    <cellStyle name="Currency 3 2 3 2 3 2 3" xfId="11834" xr:uid="{33345019-76D8-45BB-8B80-B084BB059033}"/>
    <cellStyle name="Currency 3 2 3 2 3 3" xfId="5465" xr:uid="{00000000-0005-0000-0000-0000080B0000}"/>
    <cellStyle name="Currency 3 2 3 2 3 3 2" xfId="13907" xr:uid="{361DEDE4-27E6-493B-9A2C-7427EBA49BBC}"/>
    <cellStyle name="Currency 3 2 3 2 3 4" xfId="9689" xr:uid="{5B9A79EC-27F1-4807-A846-EE43B2DBAE35}"/>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AB785C66-C302-4593-8993-0B7F1289BF0B}"/>
    <cellStyle name="Currency 3 2 3 2 4 2 3" xfId="12247" xr:uid="{C5411F0B-C707-4EC3-9C95-2413F9B4B38A}"/>
    <cellStyle name="Currency 3 2 3 2 4 3" xfId="5878" xr:uid="{00000000-0005-0000-0000-00000C0B0000}"/>
    <cellStyle name="Currency 3 2 3 2 4 3 2" xfId="14320" xr:uid="{CC21650A-0BCC-4590-85AB-6F9DD491BD80}"/>
    <cellStyle name="Currency 3 2 3 2 4 4" xfId="10102" xr:uid="{18384EBF-3893-49B9-A347-270AC62A0D1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E920BEE0-6ECC-45BA-AFD7-D085DC12382E}"/>
    <cellStyle name="Currency 3 2 3 2 5 2 3" xfId="12660" xr:uid="{AB515F69-C8E0-45F2-9FDC-115974ABC131}"/>
    <cellStyle name="Currency 3 2 3 2 5 3" xfId="6291" xr:uid="{00000000-0005-0000-0000-0000100B0000}"/>
    <cellStyle name="Currency 3 2 3 2 5 3 2" xfId="14733" xr:uid="{2BAEF737-9B45-4790-9D4D-B8C6810502E8}"/>
    <cellStyle name="Currency 3 2 3 2 5 4" xfId="10515" xr:uid="{691D82E0-06AE-4CCD-A6CE-415B81C058C0}"/>
    <cellStyle name="Currency 3 2 3 2 6" xfId="2419" xr:uid="{00000000-0005-0000-0000-0000110B0000}"/>
    <cellStyle name="Currency 3 2 3 2 6 2" xfId="6704" xr:uid="{00000000-0005-0000-0000-0000120B0000}"/>
    <cellStyle name="Currency 3 2 3 2 6 2 2" xfId="15146" xr:uid="{1D3A85D6-23B8-4DB1-A3FF-84007324832C}"/>
    <cellStyle name="Currency 3 2 3 2 6 3" xfId="10928" xr:uid="{8549294F-A30B-42B4-82E3-CF878AD013DA}"/>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FDF57729-EFF6-4B3B-A509-9E61845572E9}"/>
    <cellStyle name="Currency 3 2 3 2 8 3" xfId="11245" xr:uid="{146A5F5B-1778-4808-9DFF-523E44F3D1B8}"/>
    <cellStyle name="Currency 3 2 3 2 9" xfId="4638" xr:uid="{00000000-0005-0000-0000-0000160B0000}"/>
    <cellStyle name="Currency 3 2 3 2 9 2" xfId="13080" xr:uid="{4B900534-7689-428F-BCAC-BA322437F065}"/>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96FB7D05-2B94-4E0B-B75C-D6426BF968F7}"/>
    <cellStyle name="Currency 3 2 3 3 2 3" xfId="11420" xr:uid="{7DF4B498-CF33-49E3-AFC3-8BC468951643}"/>
    <cellStyle name="Currency 3 2 3 3 3" xfId="5051" xr:uid="{00000000-0005-0000-0000-00001A0B0000}"/>
    <cellStyle name="Currency 3 2 3 3 3 2" xfId="13493" xr:uid="{415A89E1-4C15-437C-936C-3FF1ECDB8D3B}"/>
    <cellStyle name="Currency 3 2 3 3 4" xfId="9275" xr:uid="{EDF4E68D-B5CD-4FAB-A5E3-860FFF1B6F60}"/>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4667A604-EBDF-4AF4-8C64-99AE83BF3A1E}"/>
    <cellStyle name="Currency 3 2 3 4 2 3" xfId="11833" xr:uid="{9E538C0F-8D00-4C2D-A2B2-53FC0B883F36}"/>
    <cellStyle name="Currency 3 2 3 4 3" xfId="5464" xr:uid="{00000000-0005-0000-0000-00001E0B0000}"/>
    <cellStyle name="Currency 3 2 3 4 3 2" xfId="13906" xr:uid="{E5B4B25E-6F9E-4D78-B126-00ABA644A877}"/>
    <cellStyle name="Currency 3 2 3 4 4" xfId="9688" xr:uid="{4B124154-CC86-44B8-84C1-369F263DC7BF}"/>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77EBC963-F38D-4F60-945B-2C4D8E6A4E05}"/>
    <cellStyle name="Currency 3 2 3 5 2 3" xfId="12246" xr:uid="{715C10AA-0B1F-4044-877E-552E44159F84}"/>
    <cellStyle name="Currency 3 2 3 5 3" xfId="5877" xr:uid="{00000000-0005-0000-0000-0000220B0000}"/>
    <cellStyle name="Currency 3 2 3 5 3 2" xfId="14319" xr:uid="{4DDD53BD-6D5E-4133-853C-83CCE67F9954}"/>
    <cellStyle name="Currency 3 2 3 5 4" xfId="10101" xr:uid="{86C9DCF1-09AC-4145-95DD-B42A27487F11}"/>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956CCD80-1452-4DF2-82B3-86D07B3D3661}"/>
    <cellStyle name="Currency 3 2 3 6 2 3" xfId="12659" xr:uid="{81A5AABB-F962-4A90-92B3-C2225FC7FBF9}"/>
    <cellStyle name="Currency 3 2 3 6 3" xfId="6290" xr:uid="{00000000-0005-0000-0000-0000260B0000}"/>
    <cellStyle name="Currency 3 2 3 6 3 2" xfId="14732" xr:uid="{C1A3B3E5-3A10-45A1-B93E-163598EA119A}"/>
    <cellStyle name="Currency 3 2 3 6 4" xfId="10514" xr:uid="{CC5DC6A0-84D4-4930-8C57-023F1856CE2F}"/>
    <cellStyle name="Currency 3 2 3 7" xfId="2418" xr:uid="{00000000-0005-0000-0000-0000270B0000}"/>
    <cellStyle name="Currency 3 2 3 7 2" xfId="6703" xr:uid="{00000000-0005-0000-0000-0000280B0000}"/>
    <cellStyle name="Currency 3 2 3 7 2 2" xfId="15145" xr:uid="{1B8155E6-6B74-4A67-A1C6-8A4D34BB52C4}"/>
    <cellStyle name="Currency 3 2 3 7 3" xfId="10927" xr:uid="{BF7DDDF0-F767-4511-9DA7-31C4706137AA}"/>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981949C7-A4ED-49F9-9D71-AEA84E608AF8}"/>
    <cellStyle name="Currency 3 2 3 9 3" xfId="11244" xr:uid="{8721267E-924D-4602-AEAA-7D55A65CCBD5}"/>
    <cellStyle name="Currency 3 2 4" xfId="184" xr:uid="{00000000-0005-0000-0000-00002C0B0000}"/>
    <cellStyle name="Currency 3 2 4 10" xfId="8863" xr:uid="{33002ED2-EF40-4422-856C-31A7B995170C}"/>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FF307B51-CDE1-4B24-ACE8-D8387DBBD259}"/>
    <cellStyle name="Currency 3 2 4 2 2 3" xfId="11422" xr:uid="{6235ACA5-31CF-4CF2-96C6-D4D918127176}"/>
    <cellStyle name="Currency 3 2 4 2 3" xfId="5053" xr:uid="{00000000-0005-0000-0000-0000300B0000}"/>
    <cellStyle name="Currency 3 2 4 2 3 2" xfId="13495" xr:uid="{9126C3A1-1185-4C5B-938B-9ADCD9225EBB}"/>
    <cellStyle name="Currency 3 2 4 2 4" xfId="9277" xr:uid="{9334C5D4-2607-445F-9E66-D03F8D6C070B}"/>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2F6CABD9-2973-483A-8377-D0A1F44F749A}"/>
    <cellStyle name="Currency 3 2 4 3 2 3" xfId="11835" xr:uid="{BF77E779-5BCA-463D-9FF8-93FAD2260140}"/>
    <cellStyle name="Currency 3 2 4 3 3" xfId="5466" xr:uid="{00000000-0005-0000-0000-0000340B0000}"/>
    <cellStyle name="Currency 3 2 4 3 3 2" xfId="13908" xr:uid="{1651F882-033D-410D-A7A1-108933E827A4}"/>
    <cellStyle name="Currency 3 2 4 3 4" xfId="9690" xr:uid="{F30C193B-3160-425A-8CDE-74DB90802D98}"/>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1C580664-8FA0-47C5-AFF6-7DD5BA83F85C}"/>
    <cellStyle name="Currency 3 2 4 4 2 3" xfId="12248" xr:uid="{6F64D2E0-771C-48CA-AE45-71038F6D7025}"/>
    <cellStyle name="Currency 3 2 4 4 3" xfId="5879" xr:uid="{00000000-0005-0000-0000-0000380B0000}"/>
    <cellStyle name="Currency 3 2 4 4 3 2" xfId="14321" xr:uid="{4288DC54-1CD6-4D3D-A3C0-750D3FBD3660}"/>
    <cellStyle name="Currency 3 2 4 4 4" xfId="10103" xr:uid="{99642E64-BE8F-402B-A1A7-83AE8D4324A7}"/>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114DFE1E-3157-4A4C-93EA-E6F933145ABB}"/>
    <cellStyle name="Currency 3 2 4 5 2 3" xfId="12661" xr:uid="{5F365325-F6AB-4AD3-B33D-D7269B8EC9B9}"/>
    <cellStyle name="Currency 3 2 4 5 3" xfId="6292" xr:uid="{00000000-0005-0000-0000-00003C0B0000}"/>
    <cellStyle name="Currency 3 2 4 5 3 2" xfId="14734" xr:uid="{09E88730-484B-49B8-AD52-048746434CB5}"/>
    <cellStyle name="Currency 3 2 4 5 4" xfId="10516" xr:uid="{026362D3-E705-422A-903C-11627B96D490}"/>
    <cellStyle name="Currency 3 2 4 6" xfId="2420" xr:uid="{00000000-0005-0000-0000-00003D0B0000}"/>
    <cellStyle name="Currency 3 2 4 6 2" xfId="6705" xr:uid="{00000000-0005-0000-0000-00003E0B0000}"/>
    <cellStyle name="Currency 3 2 4 6 2 2" xfId="15147" xr:uid="{F6C78034-969D-472E-90D5-4BD1616A2A72}"/>
    <cellStyle name="Currency 3 2 4 6 3" xfId="10929" xr:uid="{2FADE867-A3A9-429F-A125-59EA17B753B4}"/>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348375D6-BCD4-4811-91A6-C6D43ED280CF}"/>
    <cellStyle name="Currency 3 2 4 8 3" xfId="11246" xr:uid="{165408CC-43C1-4B11-B9B3-F02EF1D97508}"/>
    <cellStyle name="Currency 3 2 4 9" xfId="4639" xr:uid="{00000000-0005-0000-0000-0000420B0000}"/>
    <cellStyle name="Currency 3 2 4 9 2" xfId="13081" xr:uid="{18D131C7-DAF1-4937-AA32-E996BBBB78B2}"/>
    <cellStyle name="Currency 3 2 5" xfId="185" xr:uid="{00000000-0005-0000-0000-0000430B0000}"/>
    <cellStyle name="Currency 3 2 5 10" xfId="8864" xr:uid="{7061FC58-D6D8-44A5-9A2F-D0E5E9A1B80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81965459-B89F-4D38-9CB5-F5A4CFD73447}"/>
    <cellStyle name="Currency 3 2 5 2 2 3" xfId="11423" xr:uid="{683144CE-74A8-48DB-8AAA-50CCDBBE1544}"/>
    <cellStyle name="Currency 3 2 5 2 3" xfId="5054" xr:uid="{00000000-0005-0000-0000-0000470B0000}"/>
    <cellStyle name="Currency 3 2 5 2 3 2" xfId="13496" xr:uid="{3C828B5C-0C07-427C-99EF-D89445449FD3}"/>
    <cellStyle name="Currency 3 2 5 2 4" xfId="9278" xr:uid="{3547DB97-1844-4ECC-8A2B-FCD19B524091}"/>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A677E9F6-BB72-4CD4-8CE9-5CD27F80DB9E}"/>
    <cellStyle name="Currency 3 2 5 3 2 3" xfId="11836" xr:uid="{950BC624-5649-42BD-9224-E07C54B6C6E9}"/>
    <cellStyle name="Currency 3 2 5 3 3" xfId="5467" xr:uid="{00000000-0005-0000-0000-00004B0B0000}"/>
    <cellStyle name="Currency 3 2 5 3 3 2" xfId="13909" xr:uid="{B30F9630-D93E-470B-AE1D-2A06348ADC91}"/>
    <cellStyle name="Currency 3 2 5 3 4" xfId="9691" xr:uid="{04C5626E-6961-403F-B52F-FDCE913EF5B5}"/>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3B3F83FF-67F3-4366-B1A4-F29E4450F7E7}"/>
    <cellStyle name="Currency 3 2 5 4 2 3" xfId="12249" xr:uid="{7B5D6D4C-2F2A-4761-8A98-C84705AEC064}"/>
    <cellStyle name="Currency 3 2 5 4 3" xfId="5880" xr:uid="{00000000-0005-0000-0000-00004F0B0000}"/>
    <cellStyle name="Currency 3 2 5 4 3 2" xfId="14322" xr:uid="{61721C28-04BB-479F-A04E-5061A75EF9CD}"/>
    <cellStyle name="Currency 3 2 5 4 4" xfId="10104" xr:uid="{0739276F-ECD6-4339-8A6F-CBDAF84C2524}"/>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1DEE1F2E-1694-418F-BFAF-25C74D06C413}"/>
    <cellStyle name="Currency 3 2 5 5 2 3" xfId="12662" xr:uid="{FED76BBB-AC6A-449D-9C00-1F12C985279B}"/>
    <cellStyle name="Currency 3 2 5 5 3" xfId="6293" xr:uid="{00000000-0005-0000-0000-0000530B0000}"/>
    <cellStyle name="Currency 3 2 5 5 3 2" xfId="14735" xr:uid="{63193611-43C4-43E9-8723-BBAE8C97709C}"/>
    <cellStyle name="Currency 3 2 5 5 4" xfId="10517" xr:uid="{4A2A5A09-16DB-4DE0-8AA8-DAD8EF3A1C30}"/>
    <cellStyle name="Currency 3 2 5 6" xfId="2421" xr:uid="{00000000-0005-0000-0000-0000540B0000}"/>
    <cellStyle name="Currency 3 2 5 6 2" xfId="6706" xr:uid="{00000000-0005-0000-0000-0000550B0000}"/>
    <cellStyle name="Currency 3 2 5 6 2 2" xfId="15148" xr:uid="{CBD9DA93-8ACE-467E-B6AA-CDC8B8D4EBF4}"/>
    <cellStyle name="Currency 3 2 5 6 3" xfId="10930" xr:uid="{387FEC9E-76AC-4B69-ACC4-259A0E5CE4F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204A35AC-C784-4E35-A2A9-31554FFAE2A4}"/>
    <cellStyle name="Currency 3 2 5 8 3" xfId="11247" xr:uid="{CC590708-026B-425E-BA23-0F8EFCCD28D2}"/>
    <cellStyle name="Currency 3 2 5 9" xfId="4640" xr:uid="{00000000-0005-0000-0000-0000590B0000}"/>
    <cellStyle name="Currency 3 2 5 9 2" xfId="13082" xr:uid="{812E6AEE-6774-4F5D-A2A7-3F342C2E0C4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57439B97-1E42-4A44-AD76-A50B464A1175}"/>
    <cellStyle name="Currency 5 2 2 2 10 3" xfId="11248" xr:uid="{E4331ACB-15F2-476F-A128-CBBC4657E453}"/>
    <cellStyle name="Currency 5 2 2 2 11" xfId="4641" xr:uid="{00000000-0005-0000-0000-00006C0B0000}"/>
    <cellStyle name="Currency 5 2 2 2 11 2" xfId="13083" xr:uid="{B815B1CC-57C9-46DC-B0D2-67FBDADE80F9}"/>
    <cellStyle name="Currency 5 2 2 2 12" xfId="8865" xr:uid="{8C371BAA-D44F-4146-B5AC-BDDBA3CDD565}"/>
    <cellStyle name="Currency 5 2 2 2 2" xfId="197" xr:uid="{00000000-0005-0000-0000-00006D0B0000}"/>
    <cellStyle name="Currency 5 2 2 2 2 10" xfId="4642" xr:uid="{00000000-0005-0000-0000-00006E0B0000}"/>
    <cellStyle name="Currency 5 2 2 2 2 10 2" xfId="13084" xr:uid="{34174C96-F9F7-49CA-8222-72F8907F2248}"/>
    <cellStyle name="Currency 5 2 2 2 2 11" xfId="8866" xr:uid="{F7D02756-496D-46DF-A0D2-2685810D5F1C}"/>
    <cellStyle name="Currency 5 2 2 2 2 2" xfId="198" xr:uid="{00000000-0005-0000-0000-00006F0B0000}"/>
    <cellStyle name="Currency 5 2 2 2 2 2 10" xfId="8867" xr:uid="{A0AB4969-3090-4E3B-A4EB-EDBEEC3A5045}"/>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530A0845-0654-4F94-AF15-D5C7E8E3FFA4}"/>
    <cellStyle name="Currency 5 2 2 2 2 2 2 2 3" xfId="11426" xr:uid="{E336AC0B-3868-4DCE-A7B0-958C83634037}"/>
    <cellStyle name="Currency 5 2 2 2 2 2 2 3" xfId="5057" xr:uid="{00000000-0005-0000-0000-0000730B0000}"/>
    <cellStyle name="Currency 5 2 2 2 2 2 2 3 2" xfId="13499" xr:uid="{6F725220-A659-4410-9355-2D93A5A4C88E}"/>
    <cellStyle name="Currency 5 2 2 2 2 2 2 4" xfId="9281" xr:uid="{4C0CD506-83EB-4D4B-A97E-21514356ACF3}"/>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B2E96D84-56CE-4284-8E68-606263700B1E}"/>
    <cellStyle name="Currency 5 2 2 2 2 2 3 2 3" xfId="11839" xr:uid="{EC8EE26E-603D-418D-BD80-7D3627E44397}"/>
    <cellStyle name="Currency 5 2 2 2 2 2 3 3" xfId="5470" xr:uid="{00000000-0005-0000-0000-0000770B0000}"/>
    <cellStyle name="Currency 5 2 2 2 2 2 3 3 2" xfId="13912" xr:uid="{51BAAE3B-A43F-4AC3-A940-D17B35D5E611}"/>
    <cellStyle name="Currency 5 2 2 2 2 2 3 4" xfId="9694" xr:uid="{A88219B9-C579-4D1C-93B8-0297962B78C9}"/>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55325809-B38B-481C-87F3-915CBE65C6E5}"/>
    <cellStyle name="Currency 5 2 2 2 2 2 4 2 3" xfId="12252" xr:uid="{1CDADA64-7E14-4AE3-BF67-E940AC82AC3B}"/>
    <cellStyle name="Currency 5 2 2 2 2 2 4 3" xfId="5883" xr:uid="{00000000-0005-0000-0000-00007B0B0000}"/>
    <cellStyle name="Currency 5 2 2 2 2 2 4 3 2" xfId="14325" xr:uid="{A4F6EA12-C394-406B-A795-71F0EEB1993C}"/>
    <cellStyle name="Currency 5 2 2 2 2 2 4 4" xfId="10107" xr:uid="{2E61DBCA-5298-4CDB-88E0-6124591D8D7F}"/>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ED3DAB70-D3F3-48DD-93C6-F8E867F865B4}"/>
    <cellStyle name="Currency 5 2 2 2 2 2 5 2 3" xfId="12665" xr:uid="{D935A515-32D6-46DE-92FD-CB3EF02A6FD2}"/>
    <cellStyle name="Currency 5 2 2 2 2 2 5 3" xfId="6296" xr:uid="{00000000-0005-0000-0000-00007F0B0000}"/>
    <cellStyle name="Currency 5 2 2 2 2 2 5 3 2" xfId="14738" xr:uid="{34F72D06-0843-4AA7-808A-201A44DFB598}"/>
    <cellStyle name="Currency 5 2 2 2 2 2 5 4" xfId="10520" xr:uid="{F1F564B8-1404-4239-B1FF-EBF10E943F83}"/>
    <cellStyle name="Currency 5 2 2 2 2 2 6" xfId="2424" xr:uid="{00000000-0005-0000-0000-0000800B0000}"/>
    <cellStyle name="Currency 5 2 2 2 2 2 6 2" xfId="6709" xr:uid="{00000000-0005-0000-0000-0000810B0000}"/>
    <cellStyle name="Currency 5 2 2 2 2 2 6 2 2" xfId="15151" xr:uid="{667B1A6B-8FFC-40B8-96F3-F8256A002F1E}"/>
    <cellStyle name="Currency 5 2 2 2 2 2 6 3" xfId="10933" xr:uid="{E9BCDEF4-86AE-439A-ABC7-54C73902663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9E1F9B49-2CBE-4B23-A74E-F45061F5FDA0}"/>
    <cellStyle name="Currency 5 2 2 2 2 2 8 3" xfId="11250" xr:uid="{CB2F5BD7-D296-4019-B577-C4B034044553}"/>
    <cellStyle name="Currency 5 2 2 2 2 2 9" xfId="4643" xr:uid="{00000000-0005-0000-0000-0000850B0000}"/>
    <cellStyle name="Currency 5 2 2 2 2 2 9 2" xfId="13085" xr:uid="{F2A8C411-BA3A-497C-BDE3-C5D82D7530B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D5025E08-0AD2-46F3-9908-061E5FE71279}"/>
    <cellStyle name="Currency 5 2 2 2 2 3 2 3" xfId="11425" xr:uid="{F35F8F4A-EEF4-4A61-A916-7751B8D3E2B5}"/>
    <cellStyle name="Currency 5 2 2 2 2 3 3" xfId="5056" xr:uid="{00000000-0005-0000-0000-0000890B0000}"/>
    <cellStyle name="Currency 5 2 2 2 2 3 3 2" xfId="13498" xr:uid="{840403F5-B495-42A8-8EDA-1154EFB093CC}"/>
    <cellStyle name="Currency 5 2 2 2 2 3 4" xfId="9280" xr:uid="{5F100DA4-D589-451C-9928-1C591D92929D}"/>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D6212130-B455-43B3-90CC-15F81BC21931}"/>
    <cellStyle name="Currency 5 2 2 2 2 4 2 3" xfId="11838" xr:uid="{C86C8303-1FC1-491B-A2FE-94C5EFFBAA51}"/>
    <cellStyle name="Currency 5 2 2 2 2 4 3" xfId="5469" xr:uid="{00000000-0005-0000-0000-00008D0B0000}"/>
    <cellStyle name="Currency 5 2 2 2 2 4 3 2" xfId="13911" xr:uid="{2439D526-04B5-4453-BD68-9928403917D4}"/>
    <cellStyle name="Currency 5 2 2 2 2 4 4" xfId="9693" xr:uid="{1C4E76D2-08AA-4610-8BE5-E54794E2544F}"/>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26394436-E6AF-4CAF-ADAA-C212DC830421}"/>
    <cellStyle name="Currency 5 2 2 2 2 5 2 3" xfId="12251" xr:uid="{8D8DF150-F1D8-4D98-9BCA-B111F3C8E29A}"/>
    <cellStyle name="Currency 5 2 2 2 2 5 3" xfId="5882" xr:uid="{00000000-0005-0000-0000-0000910B0000}"/>
    <cellStyle name="Currency 5 2 2 2 2 5 3 2" xfId="14324" xr:uid="{1FA98017-B9E2-4954-A837-A684E9B059A4}"/>
    <cellStyle name="Currency 5 2 2 2 2 5 4" xfId="10106" xr:uid="{8508A53B-0ECB-4946-8364-451374AFA427}"/>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CA812412-6033-4CB4-B7BB-408FDD3C3541}"/>
    <cellStyle name="Currency 5 2 2 2 2 6 2 3" xfId="12664" xr:uid="{A9343AF8-6923-4645-9510-6A0312BE40E1}"/>
    <cellStyle name="Currency 5 2 2 2 2 6 3" xfId="6295" xr:uid="{00000000-0005-0000-0000-0000950B0000}"/>
    <cellStyle name="Currency 5 2 2 2 2 6 3 2" xfId="14737" xr:uid="{0F9755A5-59AF-4580-B773-64F278D5435B}"/>
    <cellStyle name="Currency 5 2 2 2 2 6 4" xfId="10519" xr:uid="{89F3EEC1-6503-4F5A-8C66-AC97DC969779}"/>
    <cellStyle name="Currency 5 2 2 2 2 7" xfId="2423" xr:uid="{00000000-0005-0000-0000-0000960B0000}"/>
    <cellStyle name="Currency 5 2 2 2 2 7 2" xfId="6708" xr:uid="{00000000-0005-0000-0000-0000970B0000}"/>
    <cellStyle name="Currency 5 2 2 2 2 7 2 2" xfId="15150" xr:uid="{BC3A12E0-5B38-4949-BF04-0036501C84D4}"/>
    <cellStyle name="Currency 5 2 2 2 2 7 3" xfId="10932" xr:uid="{6F18B381-B925-4829-B11D-3566F1F6EC2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6BA46FE8-BE3D-4CAB-858F-199E4D207511}"/>
    <cellStyle name="Currency 5 2 2 2 2 9 3" xfId="11249" xr:uid="{C685CFE8-F8F7-40AF-AEA5-36FA6C528ED3}"/>
    <cellStyle name="Currency 5 2 2 2 3" xfId="199" xr:uid="{00000000-0005-0000-0000-00009B0B0000}"/>
    <cellStyle name="Currency 5 2 2 2 3 10" xfId="8868" xr:uid="{2C528674-800F-4F1E-AFE7-39F30D895528}"/>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700358E9-0640-44B1-A1D5-C8D1DB2F87D5}"/>
    <cellStyle name="Currency 5 2 2 2 3 2 2 3" xfId="11427" xr:uid="{AED5FA9A-F23B-46B3-991A-2AC7FF84FCC3}"/>
    <cellStyle name="Currency 5 2 2 2 3 2 3" xfId="5058" xr:uid="{00000000-0005-0000-0000-00009F0B0000}"/>
    <cellStyle name="Currency 5 2 2 2 3 2 3 2" xfId="13500" xr:uid="{685C8080-2A13-4C8A-A526-125FCA6721A3}"/>
    <cellStyle name="Currency 5 2 2 2 3 2 4" xfId="9282" xr:uid="{419A5A63-DE80-46B4-9720-31EC2FD0A8BE}"/>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122AF1AD-B640-4443-896A-810C44CCEF08}"/>
    <cellStyle name="Currency 5 2 2 2 3 3 2 3" xfId="11840" xr:uid="{2ED4F550-8CA9-48B9-932E-B6E5E21FBFA9}"/>
    <cellStyle name="Currency 5 2 2 2 3 3 3" xfId="5471" xr:uid="{00000000-0005-0000-0000-0000A30B0000}"/>
    <cellStyle name="Currency 5 2 2 2 3 3 3 2" xfId="13913" xr:uid="{121C53B3-D056-482F-8EF2-B8E3D69FA558}"/>
    <cellStyle name="Currency 5 2 2 2 3 3 4" xfId="9695" xr:uid="{AB783A46-286B-4D30-9C4E-D58BF0BA0433}"/>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206CC460-967F-413D-B9FF-2EDD43C98213}"/>
    <cellStyle name="Currency 5 2 2 2 3 4 2 3" xfId="12253" xr:uid="{B75DDB55-44C0-4746-AE2D-8C2557BEBD18}"/>
    <cellStyle name="Currency 5 2 2 2 3 4 3" xfId="5884" xr:uid="{00000000-0005-0000-0000-0000A70B0000}"/>
    <cellStyle name="Currency 5 2 2 2 3 4 3 2" xfId="14326" xr:uid="{04C92852-6B5E-4E8B-8776-C4500D2D7747}"/>
    <cellStyle name="Currency 5 2 2 2 3 4 4" xfId="10108" xr:uid="{6541A5A4-3733-4C8B-9E6C-C269BE1FCBCA}"/>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C1F8EE15-E4AD-4A09-99F9-6CD34E88B62A}"/>
    <cellStyle name="Currency 5 2 2 2 3 5 2 3" xfId="12666" xr:uid="{B362CA34-E06D-410F-8502-F69E50EDACF5}"/>
    <cellStyle name="Currency 5 2 2 2 3 5 3" xfId="6297" xr:uid="{00000000-0005-0000-0000-0000AB0B0000}"/>
    <cellStyle name="Currency 5 2 2 2 3 5 3 2" xfId="14739" xr:uid="{429554ED-1B6F-4F1C-BC6B-C0857B5DFFD7}"/>
    <cellStyle name="Currency 5 2 2 2 3 5 4" xfId="10521" xr:uid="{B36FE0DB-B90A-41D1-B391-644909CEB516}"/>
    <cellStyle name="Currency 5 2 2 2 3 6" xfId="2425" xr:uid="{00000000-0005-0000-0000-0000AC0B0000}"/>
    <cellStyle name="Currency 5 2 2 2 3 6 2" xfId="6710" xr:uid="{00000000-0005-0000-0000-0000AD0B0000}"/>
    <cellStyle name="Currency 5 2 2 2 3 6 2 2" xfId="15152" xr:uid="{EDD8D7C3-4911-417B-BFCC-C6D1CE4F4FAA}"/>
    <cellStyle name="Currency 5 2 2 2 3 6 3" xfId="10934" xr:uid="{EFE37389-23A5-4015-9BC1-DA4932F78C5B}"/>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4B69497D-4C77-4A35-835E-3CE882FBC1F1}"/>
    <cellStyle name="Currency 5 2 2 2 3 8 3" xfId="11251" xr:uid="{D322436F-BEC9-4271-BC02-4CF9E8CF8643}"/>
    <cellStyle name="Currency 5 2 2 2 3 9" xfId="4644" xr:uid="{00000000-0005-0000-0000-0000B10B0000}"/>
    <cellStyle name="Currency 5 2 2 2 3 9 2" xfId="13086" xr:uid="{B65F676B-F980-4E67-8A4D-8729A7E9DBEE}"/>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D4D0985D-CAAF-40AF-AAA6-E1341EE21F66}"/>
    <cellStyle name="Currency 5 2 2 2 4 2 3" xfId="11424" xr:uid="{6FD76348-A5FD-42B5-AC68-3F7E25632910}"/>
    <cellStyle name="Currency 5 2 2 2 4 3" xfId="5055" xr:uid="{00000000-0005-0000-0000-0000B50B0000}"/>
    <cellStyle name="Currency 5 2 2 2 4 3 2" xfId="13497" xr:uid="{59F2A75F-EBF4-47AA-B8AB-FF0C0782D651}"/>
    <cellStyle name="Currency 5 2 2 2 4 4" xfId="9279" xr:uid="{AF7703FA-79DC-400D-B931-0A1215188BD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96782B0F-32D1-4840-96D5-717E819DEA48}"/>
    <cellStyle name="Currency 5 2 2 2 5 2 3" xfId="11837" xr:uid="{71D8069E-0FB8-4BEA-AA6E-4D798C47B56A}"/>
    <cellStyle name="Currency 5 2 2 2 5 3" xfId="5468" xr:uid="{00000000-0005-0000-0000-0000B90B0000}"/>
    <cellStyle name="Currency 5 2 2 2 5 3 2" xfId="13910" xr:uid="{0E7F9DE1-8A5C-4864-AAF5-4CCFF0C8128D}"/>
    <cellStyle name="Currency 5 2 2 2 5 4" xfId="9692" xr:uid="{8BA8E567-C3EF-4727-A723-8FFC68C09857}"/>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6AD484C4-0603-4FE1-957D-31AAA4120ABF}"/>
    <cellStyle name="Currency 5 2 2 2 6 2 3" xfId="12250" xr:uid="{6EB75C20-C9C2-46C3-868D-21C2066FC617}"/>
    <cellStyle name="Currency 5 2 2 2 6 3" xfId="5881" xr:uid="{00000000-0005-0000-0000-0000BD0B0000}"/>
    <cellStyle name="Currency 5 2 2 2 6 3 2" xfId="14323" xr:uid="{AD565F1B-E8FA-4C19-8174-681B0B2A62BC}"/>
    <cellStyle name="Currency 5 2 2 2 6 4" xfId="10105" xr:uid="{2B9FB2B1-09FB-4EE7-850A-30C90F378A1F}"/>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D32ED9BD-C596-453D-98DA-F2B6133CB7B3}"/>
    <cellStyle name="Currency 5 2 2 2 7 2 3" xfId="12663" xr:uid="{0EAE5419-425F-4325-BD33-C3CC8E644C57}"/>
    <cellStyle name="Currency 5 2 2 2 7 3" xfId="6294" xr:uid="{00000000-0005-0000-0000-0000C10B0000}"/>
    <cellStyle name="Currency 5 2 2 2 7 3 2" xfId="14736" xr:uid="{72EF2336-2774-4212-9BC1-D23735F1EC50}"/>
    <cellStyle name="Currency 5 2 2 2 7 4" xfId="10518" xr:uid="{8D2F554A-EB48-4694-BD69-F26D1DD4A21B}"/>
    <cellStyle name="Currency 5 2 2 2 8" xfId="2422" xr:uid="{00000000-0005-0000-0000-0000C20B0000}"/>
    <cellStyle name="Currency 5 2 2 2 8 2" xfId="6707" xr:uid="{00000000-0005-0000-0000-0000C30B0000}"/>
    <cellStyle name="Currency 5 2 2 2 8 2 2" xfId="15149" xr:uid="{95BE7568-4326-4C95-A036-A80A96169043}"/>
    <cellStyle name="Currency 5 2 2 2 8 3" xfId="10931" xr:uid="{1167E3C9-520D-44E0-809B-B2401D6FB05B}"/>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200802EF-6A9E-4278-922A-8F29149CC168}"/>
    <cellStyle name="Currency 5 2 2 3 11" xfId="8869" xr:uid="{4465431D-062F-4A49-B6B6-FE806BA617E2}"/>
    <cellStyle name="Currency 5 2 2 3 2" xfId="201" xr:uid="{00000000-0005-0000-0000-0000C70B0000}"/>
    <cellStyle name="Currency 5 2 2 3 2 10" xfId="8870" xr:uid="{CFFA8A6D-524F-42BD-A245-32B55D978E5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3BDFB250-984E-4935-84B9-62033E7F52A4}"/>
    <cellStyle name="Currency 5 2 2 3 2 2 2 3" xfId="11429" xr:uid="{DB1E9AC6-A370-4DD1-BB2C-470413E18F6C}"/>
    <cellStyle name="Currency 5 2 2 3 2 2 3" xfId="5060" xr:uid="{00000000-0005-0000-0000-0000CB0B0000}"/>
    <cellStyle name="Currency 5 2 2 3 2 2 3 2" xfId="13502" xr:uid="{886AD7AA-D80F-4F76-AB29-8F5D735E5FFC}"/>
    <cellStyle name="Currency 5 2 2 3 2 2 4" xfId="9284" xr:uid="{C636DF19-7FAB-4450-B9D9-10B23F8B5C1F}"/>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04F320BE-F331-4FA1-9B54-624226511926}"/>
    <cellStyle name="Currency 5 2 2 3 2 3 2 3" xfId="11842" xr:uid="{CCBD57A6-2AAB-4654-BF38-5233B40B69A5}"/>
    <cellStyle name="Currency 5 2 2 3 2 3 3" xfId="5473" xr:uid="{00000000-0005-0000-0000-0000CF0B0000}"/>
    <cellStyle name="Currency 5 2 2 3 2 3 3 2" xfId="13915" xr:uid="{0FBB8894-E9DB-438E-996E-ABDD425CE80B}"/>
    <cellStyle name="Currency 5 2 2 3 2 3 4" xfId="9697" xr:uid="{2396AE8A-B1CF-42D8-80F3-B39A6471E5C4}"/>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A0AB8565-5995-4731-BE56-FCC3CC2322D0}"/>
    <cellStyle name="Currency 5 2 2 3 2 4 2 3" xfId="12255" xr:uid="{0112A917-7EE4-4A26-B8AA-354D7E7FC415}"/>
    <cellStyle name="Currency 5 2 2 3 2 4 3" xfId="5886" xr:uid="{00000000-0005-0000-0000-0000D30B0000}"/>
    <cellStyle name="Currency 5 2 2 3 2 4 3 2" xfId="14328" xr:uid="{A358D0F3-51B4-4341-9A59-7F6A86ABC06F}"/>
    <cellStyle name="Currency 5 2 2 3 2 4 4" xfId="10110" xr:uid="{C0587492-C5EB-47E1-A5DD-FFFE827673CC}"/>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FCA9288F-5689-42B7-8184-CA283380AB3E}"/>
    <cellStyle name="Currency 5 2 2 3 2 5 2 3" xfId="12668" xr:uid="{4C887860-9129-4ACC-BA9B-32A8B384B36F}"/>
    <cellStyle name="Currency 5 2 2 3 2 5 3" xfId="6299" xr:uid="{00000000-0005-0000-0000-0000D70B0000}"/>
    <cellStyle name="Currency 5 2 2 3 2 5 3 2" xfId="14741" xr:uid="{73FF8AAF-9DC7-4CB8-8D34-928939B7A628}"/>
    <cellStyle name="Currency 5 2 2 3 2 5 4" xfId="10523" xr:uid="{2935A929-4D20-4CA5-AFFF-D6B1AB3DA29D}"/>
    <cellStyle name="Currency 5 2 2 3 2 6" xfId="2427" xr:uid="{00000000-0005-0000-0000-0000D80B0000}"/>
    <cellStyle name="Currency 5 2 2 3 2 6 2" xfId="6712" xr:uid="{00000000-0005-0000-0000-0000D90B0000}"/>
    <cellStyle name="Currency 5 2 2 3 2 6 2 2" xfId="15154" xr:uid="{4D23F33A-7182-41BE-ADE8-EC3F0DAEA109}"/>
    <cellStyle name="Currency 5 2 2 3 2 6 3" xfId="10936" xr:uid="{B66A2ED3-88E9-497A-BEF8-CF6D9EF1359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5463E54C-0E1D-431A-BDCB-8B98FF5E65FE}"/>
    <cellStyle name="Currency 5 2 2 3 2 8 3" xfId="11253" xr:uid="{DA448A94-AE9E-4396-81E1-B0547D8E77C5}"/>
    <cellStyle name="Currency 5 2 2 3 2 9" xfId="4646" xr:uid="{00000000-0005-0000-0000-0000DD0B0000}"/>
    <cellStyle name="Currency 5 2 2 3 2 9 2" xfId="13088" xr:uid="{B4F68841-CD84-40BA-9E12-B7DF800B52C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F6818944-90B9-45CD-AC1B-048DB8CBCA92}"/>
    <cellStyle name="Currency 5 2 2 3 3 2 3" xfId="11428" xr:uid="{1B60C4E0-6022-412D-BD26-B5FA758E81C2}"/>
    <cellStyle name="Currency 5 2 2 3 3 3" xfId="5059" xr:uid="{00000000-0005-0000-0000-0000E10B0000}"/>
    <cellStyle name="Currency 5 2 2 3 3 3 2" xfId="13501" xr:uid="{BBEE543E-7BC9-4BCF-9222-019B01EC0A81}"/>
    <cellStyle name="Currency 5 2 2 3 3 4" xfId="9283" xr:uid="{F2CB5FDE-2923-4F27-8D07-380A14FD7C5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98EEA909-904A-42FF-92EF-06206CE3A5DA}"/>
    <cellStyle name="Currency 5 2 2 3 4 2 3" xfId="11841" xr:uid="{C6831955-5665-4E8C-BB12-66A6FFE65058}"/>
    <cellStyle name="Currency 5 2 2 3 4 3" xfId="5472" xr:uid="{00000000-0005-0000-0000-0000E50B0000}"/>
    <cellStyle name="Currency 5 2 2 3 4 3 2" xfId="13914" xr:uid="{8F5C0304-1717-49C1-B997-B9BB8C97B3C1}"/>
    <cellStyle name="Currency 5 2 2 3 4 4" xfId="9696" xr:uid="{41EB9392-0891-4500-9F27-8725637C86C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3948F575-B5C8-435D-8361-6814364924F7}"/>
    <cellStyle name="Currency 5 2 2 3 5 2 3" xfId="12254" xr:uid="{760841D2-0975-44FE-83A1-942C6EA04594}"/>
    <cellStyle name="Currency 5 2 2 3 5 3" xfId="5885" xr:uid="{00000000-0005-0000-0000-0000E90B0000}"/>
    <cellStyle name="Currency 5 2 2 3 5 3 2" xfId="14327" xr:uid="{DAE6C0F9-F8B2-47E6-A4EC-D20776D1F482}"/>
    <cellStyle name="Currency 5 2 2 3 5 4" xfId="10109" xr:uid="{22ACD224-0844-4FB5-88DB-1B9D223CB73C}"/>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148500C9-7048-4CE4-B5CB-C55C764BCCF0}"/>
    <cellStyle name="Currency 5 2 2 3 6 2 3" xfId="12667" xr:uid="{CCF93D9E-6460-49D8-B2CE-F63363547389}"/>
    <cellStyle name="Currency 5 2 2 3 6 3" xfId="6298" xr:uid="{00000000-0005-0000-0000-0000ED0B0000}"/>
    <cellStyle name="Currency 5 2 2 3 6 3 2" xfId="14740" xr:uid="{41E87DB1-643E-4EBC-B1A6-E9EF86640AF5}"/>
    <cellStyle name="Currency 5 2 2 3 6 4" xfId="10522" xr:uid="{3BB03A04-2DA1-4A0A-AEF3-DD4946DE5A14}"/>
    <cellStyle name="Currency 5 2 2 3 7" xfId="2426" xr:uid="{00000000-0005-0000-0000-0000EE0B0000}"/>
    <cellStyle name="Currency 5 2 2 3 7 2" xfId="6711" xr:uid="{00000000-0005-0000-0000-0000EF0B0000}"/>
    <cellStyle name="Currency 5 2 2 3 7 2 2" xfId="15153" xr:uid="{884F0061-409A-4381-9CA6-FC47CC8E7E9D}"/>
    <cellStyle name="Currency 5 2 2 3 7 3" xfId="10935" xr:uid="{87A7CA0A-BCA3-4324-9823-8D2B23326BA0}"/>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C53FB897-FA2B-4223-9615-7898504598F1}"/>
    <cellStyle name="Currency 5 2 2 3 9 3" xfId="11252" xr:uid="{95FA0D37-0900-4E74-A157-B145BF0A40F1}"/>
    <cellStyle name="Currency 5 2 2 4" xfId="202" xr:uid="{00000000-0005-0000-0000-0000F30B0000}"/>
    <cellStyle name="Currency 5 2 2 4 10" xfId="8871" xr:uid="{CC183090-C642-4EFC-9F1F-308B3DD1C4C1}"/>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9B929E0F-86C0-4EEE-8B66-5229C0D197C2}"/>
    <cellStyle name="Currency 5 2 2 4 2 2 3" xfId="11430" xr:uid="{4B9EACB8-BF40-483E-8F82-D77B8E199CE2}"/>
    <cellStyle name="Currency 5 2 2 4 2 3" xfId="5061" xr:uid="{00000000-0005-0000-0000-0000F70B0000}"/>
    <cellStyle name="Currency 5 2 2 4 2 3 2" xfId="13503" xr:uid="{380A319F-039D-40D9-B862-DB8DF374AE27}"/>
    <cellStyle name="Currency 5 2 2 4 2 4" xfId="9285" xr:uid="{BB971268-F60C-4927-8BBD-F4F0F40A942A}"/>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DF9353C7-D2BF-4C31-8A86-2A4DC16078F8}"/>
    <cellStyle name="Currency 5 2 2 4 3 2 3" xfId="11843" xr:uid="{6D2AE442-C43F-46C7-9A18-22F2FED3817F}"/>
    <cellStyle name="Currency 5 2 2 4 3 3" xfId="5474" xr:uid="{00000000-0005-0000-0000-0000FB0B0000}"/>
    <cellStyle name="Currency 5 2 2 4 3 3 2" xfId="13916" xr:uid="{4B1CAFDC-9C14-4FC9-97CF-3F78480F2B6A}"/>
    <cellStyle name="Currency 5 2 2 4 3 4" xfId="9698" xr:uid="{9DBD4225-1DED-461D-A35F-DEBD4C8FAB31}"/>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E5963EEE-9B35-4CB3-9D90-AA2EC6E6B1DE}"/>
    <cellStyle name="Currency 5 2 2 4 4 2 3" xfId="12256" xr:uid="{B54398E9-95E4-4FA2-A4D7-03B05571C797}"/>
    <cellStyle name="Currency 5 2 2 4 4 3" xfId="5887" xr:uid="{00000000-0005-0000-0000-0000FF0B0000}"/>
    <cellStyle name="Currency 5 2 2 4 4 3 2" xfId="14329" xr:uid="{31BCF5E3-DDDD-4CF8-8D87-BEDA77969039}"/>
    <cellStyle name="Currency 5 2 2 4 4 4" xfId="10111" xr:uid="{EA36E8E7-F106-4B51-BE7B-FDD6FEB0DFFE}"/>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DABDB929-8FC7-4C53-A72D-20827646FB18}"/>
    <cellStyle name="Currency 5 2 2 4 5 2 3" xfId="12669" xr:uid="{23C8F16F-EBF8-4180-8EA8-EDB3620172D2}"/>
    <cellStyle name="Currency 5 2 2 4 5 3" xfId="6300" xr:uid="{00000000-0005-0000-0000-0000030C0000}"/>
    <cellStyle name="Currency 5 2 2 4 5 3 2" xfId="14742" xr:uid="{5CA06019-2D68-4241-AFA7-7DA93CE44FA9}"/>
    <cellStyle name="Currency 5 2 2 4 5 4" xfId="10524" xr:uid="{4383D611-1E80-4BB4-9971-531110FB30CF}"/>
    <cellStyle name="Currency 5 2 2 4 6" xfId="2428" xr:uid="{00000000-0005-0000-0000-0000040C0000}"/>
    <cellStyle name="Currency 5 2 2 4 6 2" xfId="6713" xr:uid="{00000000-0005-0000-0000-0000050C0000}"/>
    <cellStyle name="Currency 5 2 2 4 6 2 2" xfId="15155" xr:uid="{8F666A0B-97AA-49A6-A22B-1141DA4D15DF}"/>
    <cellStyle name="Currency 5 2 2 4 6 3" xfId="10937" xr:uid="{EDE6900E-F18C-48F5-8C2E-D5FD4319B2AC}"/>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17214BDB-B5E0-445A-8247-9E2CBFEA9F85}"/>
    <cellStyle name="Currency 5 2 2 4 8 3" xfId="11254" xr:uid="{26C83FE1-1F1B-44B4-B9B0-EA7AE2495B20}"/>
    <cellStyle name="Currency 5 2 2 4 9" xfId="4647" xr:uid="{00000000-0005-0000-0000-0000090C0000}"/>
    <cellStyle name="Currency 5 2 2 4 9 2" xfId="13089" xr:uid="{4FD65E70-CA0F-44A6-AFA0-7BA533F5C1AC}"/>
    <cellStyle name="Currency 5 2 2 5" xfId="203" xr:uid="{00000000-0005-0000-0000-00000A0C0000}"/>
    <cellStyle name="Currency 5 2 2 5 10" xfId="8872" xr:uid="{A471B58B-C8D1-4E7D-9CCC-9A80D71E212F}"/>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05A08B8C-D653-4D72-B090-ACBEBF468302}"/>
    <cellStyle name="Currency 5 2 2 5 2 2 3" xfId="11431" xr:uid="{5E46FB0E-5D49-4B0E-8F43-0AF73634815D}"/>
    <cellStyle name="Currency 5 2 2 5 2 3" xfId="5062" xr:uid="{00000000-0005-0000-0000-00000E0C0000}"/>
    <cellStyle name="Currency 5 2 2 5 2 3 2" xfId="13504" xr:uid="{427E5220-9360-4225-B6C1-AFD61B361CDD}"/>
    <cellStyle name="Currency 5 2 2 5 2 4" xfId="9286" xr:uid="{40A8EB5A-5603-44CE-BC2B-850E4BA555FA}"/>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C94029EE-0870-4EA4-A81D-4C7EF9AED990}"/>
    <cellStyle name="Currency 5 2 2 5 3 2 3" xfId="11844" xr:uid="{C7B6C48D-8D88-4D5D-B69B-A3E0C3A68137}"/>
    <cellStyle name="Currency 5 2 2 5 3 3" xfId="5475" xr:uid="{00000000-0005-0000-0000-0000120C0000}"/>
    <cellStyle name="Currency 5 2 2 5 3 3 2" xfId="13917" xr:uid="{03A17A78-9786-4700-99D6-69E3FA610C69}"/>
    <cellStyle name="Currency 5 2 2 5 3 4" xfId="9699" xr:uid="{E0F3DB2E-8A1C-422F-934C-EF4DA5356F3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0F6B1731-7F39-4050-ABED-A61323ABD445}"/>
    <cellStyle name="Currency 5 2 2 5 4 2 3" xfId="12257" xr:uid="{EFBCC8EA-A05F-4CC5-A18F-0FB86E494FD4}"/>
    <cellStyle name="Currency 5 2 2 5 4 3" xfId="5888" xr:uid="{00000000-0005-0000-0000-0000160C0000}"/>
    <cellStyle name="Currency 5 2 2 5 4 3 2" xfId="14330" xr:uid="{04B28F7E-8A84-419B-A85B-25C7D764273E}"/>
    <cellStyle name="Currency 5 2 2 5 4 4" xfId="10112" xr:uid="{4E305859-34FA-4DE8-BEE9-B8F80AD93E77}"/>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77A918C6-4074-4E76-9378-A9570147C549}"/>
    <cellStyle name="Currency 5 2 2 5 5 2 3" xfId="12670" xr:uid="{0CA96DE5-99BB-4F18-8AF1-8BA74BDA3A89}"/>
    <cellStyle name="Currency 5 2 2 5 5 3" xfId="6301" xr:uid="{00000000-0005-0000-0000-00001A0C0000}"/>
    <cellStyle name="Currency 5 2 2 5 5 3 2" xfId="14743" xr:uid="{1B288D7E-5FEF-42DE-A6FA-949FFA82BA39}"/>
    <cellStyle name="Currency 5 2 2 5 5 4" xfId="10525" xr:uid="{953F01CF-254E-4F1A-B89F-783290E5BD90}"/>
    <cellStyle name="Currency 5 2 2 5 6" xfId="2429" xr:uid="{00000000-0005-0000-0000-00001B0C0000}"/>
    <cellStyle name="Currency 5 2 2 5 6 2" xfId="6714" xr:uid="{00000000-0005-0000-0000-00001C0C0000}"/>
    <cellStyle name="Currency 5 2 2 5 6 2 2" xfId="15156" xr:uid="{B8377EB4-45E6-4906-A9DD-80D96119A84A}"/>
    <cellStyle name="Currency 5 2 2 5 6 3" xfId="10938" xr:uid="{0ED87236-BE55-4B3C-A7EE-52EBA0AA128F}"/>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91EB2B65-6C38-4370-BCE1-DA6E0A4363CE}"/>
    <cellStyle name="Currency 5 2 2 5 8 3" xfId="11255" xr:uid="{90665AA4-5583-45BC-942E-7BFC13EE3EE8}"/>
    <cellStyle name="Currency 5 2 2 5 9" xfId="4648" xr:uid="{00000000-0005-0000-0000-0000200C0000}"/>
    <cellStyle name="Currency 5 2 2 5 9 2" xfId="13090" xr:uid="{67FA98DE-8005-44AB-9665-C5FCBEE44268}"/>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2B41241E-0D75-4AAF-BBDF-A0F4E7A71E10}"/>
    <cellStyle name="Currency 5 2 4 11" xfId="8873" xr:uid="{8AFA1D9C-7945-4548-8AF0-2E60915A0B2A}"/>
    <cellStyle name="Currency 5 2 4 2" xfId="206" xr:uid="{00000000-0005-0000-0000-0000250C0000}"/>
    <cellStyle name="Currency 5 2 4 2 10" xfId="8874" xr:uid="{7B2433D1-D2C8-4D24-9B6A-27CF0F6C12F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DC263EF-DB94-4970-82E2-06231AA94B49}"/>
    <cellStyle name="Currency 5 2 4 2 2 2 3" xfId="11433" xr:uid="{0ACE4D69-838A-44ED-921B-2CE79327BC4B}"/>
    <cellStyle name="Currency 5 2 4 2 2 3" xfId="5064" xr:uid="{00000000-0005-0000-0000-0000290C0000}"/>
    <cellStyle name="Currency 5 2 4 2 2 3 2" xfId="13506" xr:uid="{C5C74A4F-37B6-4820-8B99-484ADB7140D6}"/>
    <cellStyle name="Currency 5 2 4 2 2 4" xfId="9288" xr:uid="{118637C1-D7C4-4136-A0DD-3C2230458EA8}"/>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56A3D1DC-8FAE-4BA5-ACAF-AE6B8AD698A8}"/>
    <cellStyle name="Currency 5 2 4 2 3 2 3" xfId="11846" xr:uid="{313CCE47-E3B3-4BC2-A231-A3FC8CDAD420}"/>
    <cellStyle name="Currency 5 2 4 2 3 3" xfId="5477" xr:uid="{00000000-0005-0000-0000-00002D0C0000}"/>
    <cellStyle name="Currency 5 2 4 2 3 3 2" xfId="13919" xr:uid="{2208D8D1-0BB5-48EC-9A33-8DEDD5A68E00}"/>
    <cellStyle name="Currency 5 2 4 2 3 4" xfId="9701" xr:uid="{6A468BEF-1B34-4175-8E49-24D02FCEC231}"/>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600CDD27-58A5-47F2-BA0F-7218ADE27372}"/>
    <cellStyle name="Currency 5 2 4 2 4 2 3" xfId="12259" xr:uid="{42D784CA-E6C0-43D3-A6B8-FFE3CFF4FDCB}"/>
    <cellStyle name="Currency 5 2 4 2 4 3" xfId="5890" xr:uid="{00000000-0005-0000-0000-0000310C0000}"/>
    <cellStyle name="Currency 5 2 4 2 4 3 2" xfId="14332" xr:uid="{44A79F62-FDA3-483A-9932-2BE9AEC2FFFF}"/>
    <cellStyle name="Currency 5 2 4 2 4 4" xfId="10114" xr:uid="{26F305E2-3C71-4EFB-BF58-0BA40E494F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0C2F6B44-1BA4-4ED8-9047-CE166C1374FB}"/>
    <cellStyle name="Currency 5 2 4 2 5 2 3" xfId="12672" xr:uid="{A8A077D9-EC03-4D65-9A1A-59B274EC2611}"/>
    <cellStyle name="Currency 5 2 4 2 5 3" xfId="6303" xr:uid="{00000000-0005-0000-0000-0000350C0000}"/>
    <cellStyle name="Currency 5 2 4 2 5 3 2" xfId="14745" xr:uid="{7B04C0AC-BE6E-4EC3-A2A3-F12CCBCE1281}"/>
    <cellStyle name="Currency 5 2 4 2 5 4" xfId="10527" xr:uid="{F33AE853-C9EF-4D53-8D5B-39659B89D9E3}"/>
    <cellStyle name="Currency 5 2 4 2 6" xfId="2431" xr:uid="{00000000-0005-0000-0000-0000360C0000}"/>
    <cellStyle name="Currency 5 2 4 2 6 2" xfId="6716" xr:uid="{00000000-0005-0000-0000-0000370C0000}"/>
    <cellStyle name="Currency 5 2 4 2 6 2 2" xfId="15158" xr:uid="{7451E529-9FF6-48E3-A2F2-24A782C63D5A}"/>
    <cellStyle name="Currency 5 2 4 2 6 3" xfId="10940" xr:uid="{0700CDAF-79B3-45AA-A7B1-458ADB9CD2AB}"/>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AD4CB3A7-D831-4667-93AE-0B5519E4F9A0}"/>
    <cellStyle name="Currency 5 2 4 2 8 3" xfId="11257" xr:uid="{B4D4CA5E-EC04-413A-B074-ABF93421F103}"/>
    <cellStyle name="Currency 5 2 4 2 9" xfId="4650" xr:uid="{00000000-0005-0000-0000-00003B0C0000}"/>
    <cellStyle name="Currency 5 2 4 2 9 2" xfId="13092" xr:uid="{DF4A5DE1-945F-4CF7-AC67-C75D6D576B99}"/>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A4980AF1-6599-4EEB-863A-37907CA506B8}"/>
    <cellStyle name="Currency 5 2 4 3 2 3" xfId="11432" xr:uid="{C3A6B70A-F9F3-4480-A48B-8F09175F2CBF}"/>
    <cellStyle name="Currency 5 2 4 3 3" xfId="5063" xr:uid="{00000000-0005-0000-0000-00003F0C0000}"/>
    <cellStyle name="Currency 5 2 4 3 3 2" xfId="13505" xr:uid="{82DABF18-B975-4A13-9D30-1F90DF17264B}"/>
    <cellStyle name="Currency 5 2 4 3 4" xfId="9287" xr:uid="{9265C59B-19FB-49F2-BF49-FDBF8F63AED4}"/>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C58AC142-E7A0-44CA-8EBF-C5B5A6BF9F6E}"/>
    <cellStyle name="Currency 5 2 4 4 2 3" xfId="11845" xr:uid="{28359FD8-36D5-4EB9-8F13-90147E45F765}"/>
    <cellStyle name="Currency 5 2 4 4 3" xfId="5476" xr:uid="{00000000-0005-0000-0000-0000430C0000}"/>
    <cellStyle name="Currency 5 2 4 4 3 2" xfId="13918" xr:uid="{DAD3078E-4B8C-4F4F-AACF-BB61D311C74D}"/>
    <cellStyle name="Currency 5 2 4 4 4" xfId="9700" xr:uid="{78A324AA-D7AC-41A6-90C2-F1311508BD9A}"/>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97D06EA0-B6EF-483F-9DE5-2FC51338670D}"/>
    <cellStyle name="Currency 5 2 4 5 2 3" xfId="12258" xr:uid="{795B97DF-BA29-4166-B853-4F97B7CBF041}"/>
    <cellStyle name="Currency 5 2 4 5 3" xfId="5889" xr:uid="{00000000-0005-0000-0000-0000470C0000}"/>
    <cellStyle name="Currency 5 2 4 5 3 2" xfId="14331" xr:uid="{72C80A13-A10E-4D07-9782-30B54802ED7E}"/>
    <cellStyle name="Currency 5 2 4 5 4" xfId="10113" xr:uid="{52EF115A-A171-4EB0-A986-D1268F55A994}"/>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D19ECD8B-2146-49BA-A211-38AF002F8959}"/>
    <cellStyle name="Currency 5 2 4 6 2 3" xfId="12671" xr:uid="{4963E7B4-36B0-47DB-A11A-C9EDF69B0FB5}"/>
    <cellStyle name="Currency 5 2 4 6 3" xfId="6302" xr:uid="{00000000-0005-0000-0000-00004B0C0000}"/>
    <cellStyle name="Currency 5 2 4 6 3 2" xfId="14744" xr:uid="{A02544C9-8B6E-4A23-8052-C312C444E2B9}"/>
    <cellStyle name="Currency 5 2 4 6 4" xfId="10526" xr:uid="{3E66FF48-564F-4840-9427-2F1562124801}"/>
    <cellStyle name="Currency 5 2 4 7" xfId="2430" xr:uid="{00000000-0005-0000-0000-00004C0C0000}"/>
    <cellStyle name="Currency 5 2 4 7 2" xfId="6715" xr:uid="{00000000-0005-0000-0000-00004D0C0000}"/>
    <cellStyle name="Currency 5 2 4 7 2 2" xfId="15157" xr:uid="{E45E95B1-D7A8-4A39-9227-DB0428E481E0}"/>
    <cellStyle name="Currency 5 2 4 7 3" xfId="10939" xr:uid="{FDC13F09-822B-4530-AE75-57FB50C1D408}"/>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488954C6-BE87-4FDD-AEAB-22C66C0F9390}"/>
    <cellStyle name="Currency 5 2 4 9 3" xfId="11256" xr:uid="{70FD8470-6DE4-4B3F-9894-64AED2856C65}"/>
    <cellStyle name="Currency 5 2 5" xfId="207" xr:uid="{00000000-0005-0000-0000-0000510C0000}"/>
    <cellStyle name="Currency 5 2 5 10" xfId="8875" xr:uid="{10DD148E-A9F3-49B0-8653-8A664F298B3C}"/>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5E6929A4-1559-4B95-B156-585D0DC03549}"/>
    <cellStyle name="Currency 5 2 5 2 2 3" xfId="11434" xr:uid="{E15A9E7A-268C-4F0F-855E-8A63DF3FF505}"/>
    <cellStyle name="Currency 5 2 5 2 3" xfId="5065" xr:uid="{00000000-0005-0000-0000-0000550C0000}"/>
    <cellStyle name="Currency 5 2 5 2 3 2" xfId="13507" xr:uid="{6189E50E-1331-4329-B1E2-55C56428DD7A}"/>
    <cellStyle name="Currency 5 2 5 2 4" xfId="9289" xr:uid="{115CF358-315B-4B00-965F-F2D74157AC1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575DE426-2794-4464-B7D9-E4BABD3972D8}"/>
    <cellStyle name="Currency 5 2 5 3 2 3" xfId="11847" xr:uid="{7F7928A5-1527-4FFD-B097-97E0D89E60A5}"/>
    <cellStyle name="Currency 5 2 5 3 3" xfId="5478" xr:uid="{00000000-0005-0000-0000-0000590C0000}"/>
    <cellStyle name="Currency 5 2 5 3 3 2" xfId="13920" xr:uid="{F15116B9-6DF5-4A8B-9AD5-861CABB2791D}"/>
    <cellStyle name="Currency 5 2 5 3 4" xfId="9702" xr:uid="{CB603E39-9433-4B23-AAAD-9D5BC13154B4}"/>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8A84B854-D8EE-49A6-97B8-3F8A99E19857}"/>
    <cellStyle name="Currency 5 2 5 4 2 3" xfId="12260" xr:uid="{73054337-E167-48A6-891F-51F26E1F9829}"/>
    <cellStyle name="Currency 5 2 5 4 3" xfId="5891" xr:uid="{00000000-0005-0000-0000-00005D0C0000}"/>
    <cellStyle name="Currency 5 2 5 4 3 2" xfId="14333" xr:uid="{337B114B-8C7A-4CA1-A95E-EFE46DE4D898}"/>
    <cellStyle name="Currency 5 2 5 4 4" xfId="10115" xr:uid="{93105A97-6673-4C84-8026-FFB4A62D5CBD}"/>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BD7809DC-A22A-4154-88D0-79005A90D901}"/>
    <cellStyle name="Currency 5 2 5 5 2 3" xfId="12673" xr:uid="{FA13160E-21E5-4E21-A0F3-E947A6A5BB52}"/>
    <cellStyle name="Currency 5 2 5 5 3" xfId="6304" xr:uid="{00000000-0005-0000-0000-0000610C0000}"/>
    <cellStyle name="Currency 5 2 5 5 3 2" xfId="14746" xr:uid="{2303C313-6874-4BD0-8D64-B500CF3EDD8F}"/>
    <cellStyle name="Currency 5 2 5 5 4" xfId="10528" xr:uid="{106B226F-B3F9-4E2E-BFAA-627D09EDB3A0}"/>
    <cellStyle name="Currency 5 2 5 6" xfId="2432" xr:uid="{00000000-0005-0000-0000-0000620C0000}"/>
    <cellStyle name="Currency 5 2 5 6 2" xfId="6717" xr:uid="{00000000-0005-0000-0000-0000630C0000}"/>
    <cellStyle name="Currency 5 2 5 6 2 2" xfId="15159" xr:uid="{7968268A-43B5-4BE7-A433-5047A38236B9}"/>
    <cellStyle name="Currency 5 2 5 6 3" xfId="10941" xr:uid="{12DBAA8E-16A9-4CF3-9D42-20CCF9D72AF3}"/>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E48E9C46-299E-4A6F-9B8B-494F7A85EA55}"/>
    <cellStyle name="Currency 5 2 5 8 3" xfId="11258" xr:uid="{EBD13162-F7C3-4822-9960-8A433A900385}"/>
    <cellStyle name="Currency 5 2 5 9" xfId="4651" xr:uid="{00000000-0005-0000-0000-0000670C0000}"/>
    <cellStyle name="Currency 5 2 5 9 2" xfId="13093" xr:uid="{8D1426F1-F6B1-474D-8C4D-A39C0F567038}"/>
    <cellStyle name="Currency 5 2 6" xfId="208" xr:uid="{00000000-0005-0000-0000-0000680C0000}"/>
    <cellStyle name="Currency 5 2 6 10" xfId="8876" xr:uid="{4BFB5E79-511D-4F39-807B-E2951B9F35FA}"/>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C26B002F-D3E2-4E46-A60E-F4CE9985E045}"/>
    <cellStyle name="Currency 5 2 6 2 2 3" xfId="11435" xr:uid="{9530B04F-6D61-4BBE-8FFA-57499157111F}"/>
    <cellStyle name="Currency 5 2 6 2 3" xfId="5066" xr:uid="{00000000-0005-0000-0000-00006C0C0000}"/>
    <cellStyle name="Currency 5 2 6 2 3 2" xfId="13508" xr:uid="{C62750D0-6438-43DC-BABE-CB860FE43800}"/>
    <cellStyle name="Currency 5 2 6 2 4" xfId="9290" xr:uid="{8241F434-78C1-4390-9039-E17091C30881}"/>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8D53F8C3-BA32-4CB3-83BE-73853F9110C2}"/>
    <cellStyle name="Currency 5 2 6 3 2 3" xfId="11848" xr:uid="{F08F502D-C8AC-45BD-BF71-F92DC975B590}"/>
    <cellStyle name="Currency 5 2 6 3 3" xfId="5479" xr:uid="{00000000-0005-0000-0000-0000700C0000}"/>
    <cellStyle name="Currency 5 2 6 3 3 2" xfId="13921" xr:uid="{3D1FF89B-CC36-4FE9-B66E-9E56E85D433B}"/>
    <cellStyle name="Currency 5 2 6 3 4" xfId="9703" xr:uid="{1C422E1B-A681-4312-A381-678BCCA0DFAE}"/>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7413A29C-223B-4BC4-B112-AED3D1C1B406}"/>
    <cellStyle name="Currency 5 2 6 4 2 3" xfId="12261" xr:uid="{9534AFEF-122A-4560-AFE6-D3F32EDEC21F}"/>
    <cellStyle name="Currency 5 2 6 4 3" xfId="5892" xr:uid="{00000000-0005-0000-0000-0000740C0000}"/>
    <cellStyle name="Currency 5 2 6 4 3 2" xfId="14334" xr:uid="{B4BF585F-2383-4B41-92BF-FFA6F32CE709}"/>
    <cellStyle name="Currency 5 2 6 4 4" xfId="10116" xr:uid="{C84E7A9E-83A5-420D-9D98-3E2B9D5A1D4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A2BA3D36-7C8C-4431-9932-8CB5B1937FE0}"/>
    <cellStyle name="Currency 5 2 6 5 2 3" xfId="12674" xr:uid="{FA522153-A7FB-4303-9233-F5099580B896}"/>
    <cellStyle name="Currency 5 2 6 5 3" xfId="6305" xr:uid="{00000000-0005-0000-0000-0000780C0000}"/>
    <cellStyle name="Currency 5 2 6 5 3 2" xfId="14747" xr:uid="{167E0317-3E22-432E-8BB7-AE6219166917}"/>
    <cellStyle name="Currency 5 2 6 5 4" xfId="10529" xr:uid="{D6FEF4CF-1169-486C-8D5C-5FD171FB3F6B}"/>
    <cellStyle name="Currency 5 2 6 6" xfId="2433" xr:uid="{00000000-0005-0000-0000-0000790C0000}"/>
    <cellStyle name="Currency 5 2 6 6 2" xfId="6718" xr:uid="{00000000-0005-0000-0000-00007A0C0000}"/>
    <cellStyle name="Currency 5 2 6 6 2 2" xfId="15160" xr:uid="{F6EEF077-3699-4C99-B61B-1DDE3F0A0168}"/>
    <cellStyle name="Currency 5 2 6 6 3" xfId="10942" xr:uid="{1A4D9147-3EF3-44B1-9188-B95FA5C841DC}"/>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BD59809F-5F63-49AC-B7BC-E30B22BB6B50}"/>
    <cellStyle name="Currency 5 2 6 8 3" xfId="11259" xr:uid="{A6FBD717-6767-4ACD-A674-FC9AA9C40EE9}"/>
    <cellStyle name="Currency 5 2 6 9" xfId="4652" xr:uid="{00000000-0005-0000-0000-00007E0C0000}"/>
    <cellStyle name="Currency 5 2 6 9 2" xfId="13094" xr:uid="{80D8DD14-5D00-4DE1-9B38-2B0A3D822118}"/>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8B72C72C-F898-4E46-82C6-CB6665A43560}"/>
    <cellStyle name="Currency 5 3 2 10 3" xfId="11260" xr:uid="{D87DCA67-5F61-463D-9614-D620EF847260}"/>
    <cellStyle name="Currency 5 3 2 11" xfId="4653" xr:uid="{00000000-0005-0000-0000-0000840C0000}"/>
    <cellStyle name="Currency 5 3 2 11 2" xfId="13095" xr:uid="{AEE08894-217A-4DC2-BE20-23ADDB6B9246}"/>
    <cellStyle name="Currency 5 3 2 12" xfId="8877" xr:uid="{C75ECFA3-20E7-43B7-8B01-148D1A06F6B2}"/>
    <cellStyle name="Currency 5 3 2 2" xfId="211" xr:uid="{00000000-0005-0000-0000-0000850C0000}"/>
    <cellStyle name="Currency 5 3 2 2 10" xfId="4654" xr:uid="{00000000-0005-0000-0000-0000860C0000}"/>
    <cellStyle name="Currency 5 3 2 2 10 2" xfId="13096" xr:uid="{9B8FB0DC-CF65-45D3-8E2A-E2DEF9D1A1DA}"/>
    <cellStyle name="Currency 5 3 2 2 11" xfId="8878" xr:uid="{09D9D4F2-0F1B-4642-B1EF-F81D7C6D22EB}"/>
    <cellStyle name="Currency 5 3 2 2 2" xfId="212" xr:uid="{00000000-0005-0000-0000-0000870C0000}"/>
    <cellStyle name="Currency 5 3 2 2 2 10" xfId="8879" xr:uid="{0097DA51-40A1-4D3D-B2DF-A35C83CEB455}"/>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38807D8C-752A-4960-AB28-C331C1A40F40}"/>
    <cellStyle name="Currency 5 3 2 2 2 2 2 3" xfId="11438" xr:uid="{F443BD87-083E-4D55-B70A-8A720BC324E9}"/>
    <cellStyle name="Currency 5 3 2 2 2 2 3" xfId="5069" xr:uid="{00000000-0005-0000-0000-00008B0C0000}"/>
    <cellStyle name="Currency 5 3 2 2 2 2 3 2" xfId="13511" xr:uid="{2A040817-2BF4-44C7-8C7D-CE672005A519}"/>
    <cellStyle name="Currency 5 3 2 2 2 2 4" xfId="9293" xr:uid="{2D412AF6-224B-4C42-BF4D-36E675F09786}"/>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6C823111-359E-4174-8931-1CC3F39731A8}"/>
    <cellStyle name="Currency 5 3 2 2 2 3 2 3" xfId="11851" xr:uid="{3F51EC23-BF18-4C37-A8E0-E514A512C30A}"/>
    <cellStyle name="Currency 5 3 2 2 2 3 3" xfId="5482" xr:uid="{00000000-0005-0000-0000-00008F0C0000}"/>
    <cellStyle name="Currency 5 3 2 2 2 3 3 2" xfId="13924" xr:uid="{30DEAAE4-B95E-4D81-B0C8-F6F5E4B99DCD}"/>
    <cellStyle name="Currency 5 3 2 2 2 3 4" xfId="9706" xr:uid="{E09B5350-3AE8-4B7A-AC14-70CC213D71B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5D768155-3509-4B99-BFDA-E7ABE13833DA}"/>
    <cellStyle name="Currency 5 3 2 2 2 4 2 3" xfId="12264" xr:uid="{164DFBBF-B20A-465B-93DC-735290348A84}"/>
    <cellStyle name="Currency 5 3 2 2 2 4 3" xfId="5895" xr:uid="{00000000-0005-0000-0000-0000930C0000}"/>
    <cellStyle name="Currency 5 3 2 2 2 4 3 2" xfId="14337" xr:uid="{D31BA15A-5406-485E-8122-226AB2A2CA8B}"/>
    <cellStyle name="Currency 5 3 2 2 2 4 4" xfId="10119" xr:uid="{C9175BC6-E566-4F1D-9743-827536D2591F}"/>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1965AE74-45F8-4F48-9355-FE8B3A692D33}"/>
    <cellStyle name="Currency 5 3 2 2 2 5 2 3" xfId="12677" xr:uid="{63675701-4B40-4A81-BC42-A62D5D908693}"/>
    <cellStyle name="Currency 5 3 2 2 2 5 3" xfId="6308" xr:uid="{00000000-0005-0000-0000-0000970C0000}"/>
    <cellStyle name="Currency 5 3 2 2 2 5 3 2" xfId="14750" xr:uid="{E6112210-609E-45A7-8047-D3C67F2FE5D6}"/>
    <cellStyle name="Currency 5 3 2 2 2 5 4" xfId="10532" xr:uid="{48B01B6C-B0E2-42EE-A782-42E337D4EA82}"/>
    <cellStyle name="Currency 5 3 2 2 2 6" xfId="2436" xr:uid="{00000000-0005-0000-0000-0000980C0000}"/>
    <cellStyle name="Currency 5 3 2 2 2 6 2" xfId="6721" xr:uid="{00000000-0005-0000-0000-0000990C0000}"/>
    <cellStyle name="Currency 5 3 2 2 2 6 2 2" xfId="15163" xr:uid="{08B4CDB3-F9CB-448B-878B-9640926B880F}"/>
    <cellStyle name="Currency 5 3 2 2 2 6 3" xfId="10945" xr:uid="{781FE514-6C21-4A5B-9703-0B65B6AE76E4}"/>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1FBE619F-CD66-4E8B-9D0D-CFCAEB0AB5F9}"/>
    <cellStyle name="Currency 5 3 2 2 2 8 3" xfId="11262" xr:uid="{51F4D486-C9B4-412C-874E-D828FC56A8B0}"/>
    <cellStyle name="Currency 5 3 2 2 2 9" xfId="4655" xr:uid="{00000000-0005-0000-0000-00009D0C0000}"/>
    <cellStyle name="Currency 5 3 2 2 2 9 2" xfId="13097" xr:uid="{5DFB2402-D4B7-40DF-B0B1-7D7296145C9A}"/>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47E080E9-C4B2-4C63-8825-C33BEA06451B}"/>
    <cellStyle name="Currency 5 3 2 2 3 2 3" xfId="11437" xr:uid="{AAB13ACE-3D45-4EA6-BCFE-EAF85930E356}"/>
    <cellStyle name="Currency 5 3 2 2 3 3" xfId="5068" xr:uid="{00000000-0005-0000-0000-0000A10C0000}"/>
    <cellStyle name="Currency 5 3 2 2 3 3 2" xfId="13510" xr:uid="{739F5FBC-DA1E-4F3E-87D7-EB83C0FF746D}"/>
    <cellStyle name="Currency 5 3 2 2 3 4" xfId="9292" xr:uid="{720311E7-CB97-4E77-8A44-A4337B266B49}"/>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18159FE2-6029-431E-BEFB-EC3EA57BDF8E}"/>
    <cellStyle name="Currency 5 3 2 2 4 2 3" xfId="11850" xr:uid="{78089DC1-AB63-4050-9AAD-9E66F1E39293}"/>
    <cellStyle name="Currency 5 3 2 2 4 3" xfId="5481" xr:uid="{00000000-0005-0000-0000-0000A50C0000}"/>
    <cellStyle name="Currency 5 3 2 2 4 3 2" xfId="13923" xr:uid="{3D496435-9326-49A3-B176-48360F299084}"/>
    <cellStyle name="Currency 5 3 2 2 4 4" xfId="9705" xr:uid="{CC3F2686-3D75-41A8-8102-9B473AF5869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11BC7848-C7D9-4C05-B1FD-9D9B75B82CDD}"/>
    <cellStyle name="Currency 5 3 2 2 5 2 3" xfId="12263" xr:uid="{916BD4E9-AD22-4AD8-8190-7726B1B76C23}"/>
    <cellStyle name="Currency 5 3 2 2 5 3" xfId="5894" xr:uid="{00000000-0005-0000-0000-0000A90C0000}"/>
    <cellStyle name="Currency 5 3 2 2 5 3 2" xfId="14336" xr:uid="{623B2914-364E-44F6-8118-491152CD33CC}"/>
    <cellStyle name="Currency 5 3 2 2 5 4" xfId="10118" xr:uid="{EFC8D2D6-5312-4178-B383-4A960B30F45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EDDE9F6F-825D-4632-879C-810206C9F374}"/>
    <cellStyle name="Currency 5 3 2 2 6 2 3" xfId="12676" xr:uid="{7BDD9E16-DA6F-4A85-AAEB-A063B22BE751}"/>
    <cellStyle name="Currency 5 3 2 2 6 3" xfId="6307" xr:uid="{00000000-0005-0000-0000-0000AD0C0000}"/>
    <cellStyle name="Currency 5 3 2 2 6 3 2" xfId="14749" xr:uid="{0997D973-7C4A-48AD-ABA1-9FDCD2147E26}"/>
    <cellStyle name="Currency 5 3 2 2 6 4" xfId="10531" xr:uid="{DBBC1FD9-99CF-4C2F-ADAA-8BC670A4F63B}"/>
    <cellStyle name="Currency 5 3 2 2 7" xfId="2435" xr:uid="{00000000-0005-0000-0000-0000AE0C0000}"/>
    <cellStyle name="Currency 5 3 2 2 7 2" xfId="6720" xr:uid="{00000000-0005-0000-0000-0000AF0C0000}"/>
    <cellStyle name="Currency 5 3 2 2 7 2 2" xfId="15162" xr:uid="{0E8133F0-90F4-4808-8372-561EAE96E379}"/>
    <cellStyle name="Currency 5 3 2 2 7 3" xfId="10944" xr:uid="{D651B40E-07A1-4A1C-BF4F-2FAF6FB415D2}"/>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14454B82-5C9A-41D0-BF91-9FF7CDE46760}"/>
    <cellStyle name="Currency 5 3 2 2 9 3" xfId="11261" xr:uid="{7AA675DB-2204-49D6-85D8-0E64B36A32AA}"/>
    <cellStyle name="Currency 5 3 2 3" xfId="213" xr:uid="{00000000-0005-0000-0000-0000B30C0000}"/>
    <cellStyle name="Currency 5 3 2 3 10" xfId="8880" xr:uid="{A2A29D1B-C408-4B22-B465-3DABEF28C8CF}"/>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73CC8AF4-F0BB-499F-B6B5-0BE8B540E928}"/>
    <cellStyle name="Currency 5 3 2 3 2 2 3" xfId="11439" xr:uid="{D5996030-8BCA-4423-90D1-07AFE0111F5F}"/>
    <cellStyle name="Currency 5 3 2 3 2 3" xfId="5070" xr:uid="{00000000-0005-0000-0000-0000B70C0000}"/>
    <cellStyle name="Currency 5 3 2 3 2 3 2" xfId="13512" xr:uid="{CB3DB9CB-86EA-4F19-B981-1B4EB0584957}"/>
    <cellStyle name="Currency 5 3 2 3 2 4" xfId="9294" xr:uid="{3B168129-4801-4CA9-A327-04DBE2DFED45}"/>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EB920654-E6F3-45C4-A70A-5D86063C16DE}"/>
    <cellStyle name="Currency 5 3 2 3 3 2 3" xfId="11852" xr:uid="{ADD9190A-5F24-43B7-B0E8-64DCD9125AC3}"/>
    <cellStyle name="Currency 5 3 2 3 3 3" xfId="5483" xr:uid="{00000000-0005-0000-0000-0000BB0C0000}"/>
    <cellStyle name="Currency 5 3 2 3 3 3 2" xfId="13925" xr:uid="{5E2EB406-7E2E-4EF3-9FA1-78269B3EE0DD}"/>
    <cellStyle name="Currency 5 3 2 3 3 4" xfId="9707" xr:uid="{2B7F88D3-9091-424E-B3FA-C3CAE4587859}"/>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9FB3F308-189B-4D77-865F-3E03658A6E09}"/>
    <cellStyle name="Currency 5 3 2 3 4 2 3" xfId="12265" xr:uid="{BA14B537-70D5-47F6-AE72-1A0AC3861DB6}"/>
    <cellStyle name="Currency 5 3 2 3 4 3" xfId="5896" xr:uid="{00000000-0005-0000-0000-0000BF0C0000}"/>
    <cellStyle name="Currency 5 3 2 3 4 3 2" xfId="14338" xr:uid="{690B7A63-FC56-4F1D-B4B4-6E42BBD4A7FC}"/>
    <cellStyle name="Currency 5 3 2 3 4 4" xfId="10120" xr:uid="{A9EED958-595D-4D43-A970-5604DF3DEF0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0CAFDAB0-0E73-490D-BBF0-DAF07E4A88BB}"/>
    <cellStyle name="Currency 5 3 2 3 5 2 3" xfId="12678" xr:uid="{788C2874-164E-4E1C-A3C3-1EB4E2A5BFA1}"/>
    <cellStyle name="Currency 5 3 2 3 5 3" xfId="6309" xr:uid="{00000000-0005-0000-0000-0000C30C0000}"/>
    <cellStyle name="Currency 5 3 2 3 5 3 2" xfId="14751" xr:uid="{9C1FF129-22D8-4EB7-AF81-34DC04357281}"/>
    <cellStyle name="Currency 5 3 2 3 5 4" xfId="10533" xr:uid="{9FF8F8D4-9F00-4095-809E-83B63CA4F3A3}"/>
    <cellStyle name="Currency 5 3 2 3 6" xfId="2437" xr:uid="{00000000-0005-0000-0000-0000C40C0000}"/>
    <cellStyle name="Currency 5 3 2 3 6 2" xfId="6722" xr:uid="{00000000-0005-0000-0000-0000C50C0000}"/>
    <cellStyle name="Currency 5 3 2 3 6 2 2" xfId="15164" xr:uid="{AC490072-CDE9-41AA-90F5-064DB5473B3C}"/>
    <cellStyle name="Currency 5 3 2 3 6 3" xfId="10946" xr:uid="{CD8B997B-1FE3-4B20-B53F-436DD48E1B56}"/>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46FFB146-5B8E-401D-B427-7EF480C3D0AC}"/>
    <cellStyle name="Currency 5 3 2 3 8 3" xfId="11263" xr:uid="{FFA16BC9-B9F0-4805-8131-B293C9A8031E}"/>
    <cellStyle name="Currency 5 3 2 3 9" xfId="4656" xr:uid="{00000000-0005-0000-0000-0000C90C0000}"/>
    <cellStyle name="Currency 5 3 2 3 9 2" xfId="13098" xr:uid="{4D896AEA-0B68-49E7-B0CB-4309B44FB8A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6CE68AFE-4933-48AD-BCC2-7D5B3860D250}"/>
    <cellStyle name="Currency 5 3 2 4 2 3" xfId="11436" xr:uid="{1B2A0F59-BF00-41FB-B374-7AFDAB2F4A1E}"/>
    <cellStyle name="Currency 5 3 2 4 3" xfId="5067" xr:uid="{00000000-0005-0000-0000-0000CD0C0000}"/>
    <cellStyle name="Currency 5 3 2 4 3 2" xfId="13509" xr:uid="{128FC264-09F1-44D0-B763-D102A4799E81}"/>
    <cellStyle name="Currency 5 3 2 4 4" xfId="9291" xr:uid="{5DF07461-8074-4E57-A545-5ED5DDB0E2A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43606B9A-FD89-4599-A30D-DC2C1F013D00}"/>
    <cellStyle name="Currency 5 3 2 5 2 3" xfId="11849" xr:uid="{D5873855-9078-4425-8BAB-AA18E99FDD4A}"/>
    <cellStyle name="Currency 5 3 2 5 3" xfId="5480" xr:uid="{00000000-0005-0000-0000-0000D10C0000}"/>
    <cellStyle name="Currency 5 3 2 5 3 2" xfId="13922" xr:uid="{2572DDED-8FD6-4D35-9CD7-A7BE7E073829}"/>
    <cellStyle name="Currency 5 3 2 5 4" xfId="9704" xr:uid="{0BC673A3-5A7D-4A54-B856-5E4D5A1903B8}"/>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C683E526-BB45-4E32-964B-5D950DF6DD5F}"/>
    <cellStyle name="Currency 5 3 2 6 2 3" xfId="12262" xr:uid="{FEC298FA-3183-40D8-BA5E-B4A9AFD5D199}"/>
    <cellStyle name="Currency 5 3 2 6 3" xfId="5893" xr:uid="{00000000-0005-0000-0000-0000D50C0000}"/>
    <cellStyle name="Currency 5 3 2 6 3 2" xfId="14335" xr:uid="{06796049-D10A-4D86-88FE-BD0444A81B1E}"/>
    <cellStyle name="Currency 5 3 2 6 4" xfId="10117" xr:uid="{7E74DBF6-804F-4314-B910-293CFDFCC34D}"/>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FC585F7A-131D-4DA8-A854-FEF5884B001A}"/>
    <cellStyle name="Currency 5 3 2 7 2 3" xfId="12675" xr:uid="{9B69ADB8-B6E8-4548-961E-49095024CDA4}"/>
    <cellStyle name="Currency 5 3 2 7 3" xfId="6306" xr:uid="{00000000-0005-0000-0000-0000D90C0000}"/>
    <cellStyle name="Currency 5 3 2 7 3 2" xfId="14748" xr:uid="{55E0D5E3-F5DB-43B3-AA29-52F0318FDA9A}"/>
    <cellStyle name="Currency 5 3 2 7 4" xfId="10530" xr:uid="{07332FD8-7328-4AFA-B0C1-E2A1D02CC235}"/>
    <cellStyle name="Currency 5 3 2 8" xfId="2434" xr:uid="{00000000-0005-0000-0000-0000DA0C0000}"/>
    <cellStyle name="Currency 5 3 2 8 2" xfId="6719" xr:uid="{00000000-0005-0000-0000-0000DB0C0000}"/>
    <cellStyle name="Currency 5 3 2 8 2 2" xfId="15161" xr:uid="{54588737-AD5D-4E2B-9263-8BCE8B514107}"/>
    <cellStyle name="Currency 5 3 2 8 3" xfId="10943" xr:uid="{F1F50DB1-1954-4302-BA28-DFA13EC300DA}"/>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622FCE82-A46C-4AA7-BDBE-7D59ECE87D5A}"/>
    <cellStyle name="Currency 5 3 3 11" xfId="8881" xr:uid="{74FDE0A2-B214-405B-B60C-019EF1131B29}"/>
    <cellStyle name="Currency 5 3 3 2" xfId="215" xr:uid="{00000000-0005-0000-0000-0000DF0C0000}"/>
    <cellStyle name="Currency 5 3 3 2 10" xfId="8882" xr:uid="{81CA153A-9942-437A-A679-701A47932E97}"/>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4B06226-0E9F-4048-ABBC-C66B1D7D4300}"/>
    <cellStyle name="Currency 5 3 3 2 2 2 3" xfId="11441" xr:uid="{C80783C5-F349-4228-8242-787BE8EB9EDF}"/>
    <cellStyle name="Currency 5 3 3 2 2 3" xfId="5072" xr:uid="{00000000-0005-0000-0000-0000E30C0000}"/>
    <cellStyle name="Currency 5 3 3 2 2 3 2" xfId="13514" xr:uid="{01086847-E173-4EED-A9FD-8D77837C8ADE}"/>
    <cellStyle name="Currency 5 3 3 2 2 4" xfId="9296" xr:uid="{FF72E692-6A3A-42CE-8D11-ED49B0F7C96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BA0E79AC-2543-412C-B0D2-28745980C970}"/>
    <cellStyle name="Currency 5 3 3 2 3 2 3" xfId="11854" xr:uid="{3431D516-ACF8-42D5-ABC8-FD0E9E711BB4}"/>
    <cellStyle name="Currency 5 3 3 2 3 3" xfId="5485" xr:uid="{00000000-0005-0000-0000-0000E70C0000}"/>
    <cellStyle name="Currency 5 3 3 2 3 3 2" xfId="13927" xr:uid="{692171FE-D672-4E56-98D1-B0B18CE72EF2}"/>
    <cellStyle name="Currency 5 3 3 2 3 4" xfId="9709" xr:uid="{EE941744-98E5-43E3-BA11-F80F9F47F8BC}"/>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5706E666-AEA5-4F01-87E4-7A365CFA15BD}"/>
    <cellStyle name="Currency 5 3 3 2 4 2 3" xfId="12267" xr:uid="{C5B75C19-47C2-4B8A-A6E9-ADDDE9AB4562}"/>
    <cellStyle name="Currency 5 3 3 2 4 3" xfId="5898" xr:uid="{00000000-0005-0000-0000-0000EB0C0000}"/>
    <cellStyle name="Currency 5 3 3 2 4 3 2" xfId="14340" xr:uid="{D3DC8C44-BB4A-49D6-BD48-A2A238E0286A}"/>
    <cellStyle name="Currency 5 3 3 2 4 4" xfId="10122" xr:uid="{AC8E0E33-1F1D-4405-9E05-FBFE1064067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AFDDC36A-0A59-473B-A2F5-7B3E6598F44F}"/>
    <cellStyle name="Currency 5 3 3 2 5 2 3" xfId="12680" xr:uid="{263C9951-DB79-4C04-8C55-BBADE97A372D}"/>
    <cellStyle name="Currency 5 3 3 2 5 3" xfId="6311" xr:uid="{00000000-0005-0000-0000-0000EF0C0000}"/>
    <cellStyle name="Currency 5 3 3 2 5 3 2" xfId="14753" xr:uid="{54C5B4E9-8DD1-427E-A4BE-2F8FB112ECDB}"/>
    <cellStyle name="Currency 5 3 3 2 5 4" xfId="10535" xr:uid="{9D912D01-601F-4B29-A992-62A914E2472C}"/>
    <cellStyle name="Currency 5 3 3 2 6" xfId="2439" xr:uid="{00000000-0005-0000-0000-0000F00C0000}"/>
    <cellStyle name="Currency 5 3 3 2 6 2" xfId="6724" xr:uid="{00000000-0005-0000-0000-0000F10C0000}"/>
    <cellStyle name="Currency 5 3 3 2 6 2 2" xfId="15166" xr:uid="{392AC8C0-0A4B-400F-BDF1-8FBB5390D68B}"/>
    <cellStyle name="Currency 5 3 3 2 6 3" xfId="10948" xr:uid="{20BE9ABC-0640-47C6-8A73-64445B42E842}"/>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D415D422-7FCB-4A4E-BB91-EC1CA4240CA6}"/>
    <cellStyle name="Currency 5 3 3 2 8 3" xfId="11265" xr:uid="{492C68DC-E1E9-462C-B8DB-74D8F727E08B}"/>
    <cellStyle name="Currency 5 3 3 2 9" xfId="4658" xr:uid="{00000000-0005-0000-0000-0000F50C0000}"/>
    <cellStyle name="Currency 5 3 3 2 9 2" xfId="13100" xr:uid="{C679897A-C0DE-444A-AE42-3F67AB117A8B}"/>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1A32CC15-C1A4-47B7-A4AD-A2EB7D6499CB}"/>
    <cellStyle name="Currency 5 3 3 3 2 3" xfId="11440" xr:uid="{72CC3457-D993-4BB4-B33F-8152E7B2D369}"/>
    <cellStyle name="Currency 5 3 3 3 3" xfId="5071" xr:uid="{00000000-0005-0000-0000-0000F90C0000}"/>
    <cellStyle name="Currency 5 3 3 3 3 2" xfId="13513" xr:uid="{740101DD-9E1B-49B7-A93E-F3E5F1A29FAC}"/>
    <cellStyle name="Currency 5 3 3 3 4" xfId="9295" xr:uid="{0FE20357-A60D-4575-AC47-99E6CA260F2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7871D8B0-5160-42D1-BE65-16BF1C8DAF37}"/>
    <cellStyle name="Currency 5 3 3 4 2 3" xfId="11853" xr:uid="{55936957-2ECC-48B8-9B11-8E43C49F47A6}"/>
    <cellStyle name="Currency 5 3 3 4 3" xfId="5484" xr:uid="{00000000-0005-0000-0000-0000FD0C0000}"/>
    <cellStyle name="Currency 5 3 3 4 3 2" xfId="13926" xr:uid="{39A8517E-D3C9-499A-BCDA-6655214B45BC}"/>
    <cellStyle name="Currency 5 3 3 4 4" xfId="9708" xr:uid="{F82999C9-FAC2-4001-AA4D-83A809FD355C}"/>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8A13D657-AF9C-4B0D-9E5C-D565AC05FE81}"/>
    <cellStyle name="Currency 5 3 3 5 2 3" xfId="12266" xr:uid="{67782831-7063-4D5F-A611-37BA288FA889}"/>
    <cellStyle name="Currency 5 3 3 5 3" xfId="5897" xr:uid="{00000000-0005-0000-0000-0000010D0000}"/>
    <cellStyle name="Currency 5 3 3 5 3 2" xfId="14339" xr:uid="{06657527-AE5C-4A0C-82F2-FE0D45F55ED7}"/>
    <cellStyle name="Currency 5 3 3 5 4" xfId="10121" xr:uid="{DA85169A-B52C-4A2D-AA1D-11B3509B6AEC}"/>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0283F28F-F1FC-4BD2-A05F-1C8962AB94CD}"/>
    <cellStyle name="Currency 5 3 3 6 2 3" xfId="12679" xr:uid="{AFF91801-6A8E-470C-B87B-757E5B245670}"/>
    <cellStyle name="Currency 5 3 3 6 3" xfId="6310" xr:uid="{00000000-0005-0000-0000-0000050D0000}"/>
    <cellStyle name="Currency 5 3 3 6 3 2" xfId="14752" xr:uid="{91BAB1CF-5FB3-40AA-929F-E952E5D9C499}"/>
    <cellStyle name="Currency 5 3 3 6 4" xfId="10534" xr:uid="{912A3838-D147-4539-ACA4-4615FEA6D03F}"/>
    <cellStyle name="Currency 5 3 3 7" xfId="2438" xr:uid="{00000000-0005-0000-0000-0000060D0000}"/>
    <cellStyle name="Currency 5 3 3 7 2" xfId="6723" xr:uid="{00000000-0005-0000-0000-0000070D0000}"/>
    <cellStyle name="Currency 5 3 3 7 2 2" xfId="15165" xr:uid="{2D34E7CC-0D10-4028-A42F-BC6CF0ACE0A4}"/>
    <cellStyle name="Currency 5 3 3 7 3" xfId="10947" xr:uid="{BF7A46BF-F504-4D2A-BCC5-56C6F4152553}"/>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E0023B98-E6D3-4EAD-B180-2318920F3B28}"/>
    <cellStyle name="Currency 5 3 3 9 3" xfId="11264" xr:uid="{EFF3CEE7-D8DD-41D6-B207-35336D5E08FD}"/>
    <cellStyle name="Currency 5 3 4" xfId="216" xr:uid="{00000000-0005-0000-0000-00000B0D0000}"/>
    <cellStyle name="Currency 5 3 4 10" xfId="8883" xr:uid="{26412DDB-EC41-42D8-BA16-2B6CC50FC867}"/>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8B0CFE51-4352-4769-BAF0-FE2C29B904E5}"/>
    <cellStyle name="Currency 5 3 4 2 2 3" xfId="11442" xr:uid="{5DCDDBB6-7606-4EEA-8A7B-87D1922DA5D1}"/>
    <cellStyle name="Currency 5 3 4 2 3" xfId="5073" xr:uid="{00000000-0005-0000-0000-00000F0D0000}"/>
    <cellStyle name="Currency 5 3 4 2 3 2" xfId="13515" xr:uid="{51FFFA11-B819-494D-A2C9-DB11F7A580C4}"/>
    <cellStyle name="Currency 5 3 4 2 4" xfId="9297" xr:uid="{CC4A7F91-A206-449C-9B99-F3F957DE120A}"/>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4272815-F4CA-451A-81D8-08F0ECEA34BD}"/>
    <cellStyle name="Currency 5 3 4 3 2 3" xfId="11855" xr:uid="{FC760FA7-C56E-4687-B83F-17170B552193}"/>
    <cellStyle name="Currency 5 3 4 3 3" xfId="5486" xr:uid="{00000000-0005-0000-0000-0000130D0000}"/>
    <cellStyle name="Currency 5 3 4 3 3 2" xfId="13928" xr:uid="{2CFA1919-7CE8-4E73-A4DA-8DF573CD1BF0}"/>
    <cellStyle name="Currency 5 3 4 3 4" xfId="9710" xr:uid="{1D3E8415-7400-4EF6-8CC6-C10385D7528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6AF1AE38-A330-4FF3-A71B-283DC9E27B4D}"/>
    <cellStyle name="Currency 5 3 4 4 2 3" xfId="12268" xr:uid="{6CE14933-9525-4904-9B66-70E9973640D5}"/>
    <cellStyle name="Currency 5 3 4 4 3" xfId="5899" xr:uid="{00000000-0005-0000-0000-0000170D0000}"/>
    <cellStyle name="Currency 5 3 4 4 3 2" xfId="14341" xr:uid="{852A79EA-F5F8-4E21-B0E2-9B0534835985}"/>
    <cellStyle name="Currency 5 3 4 4 4" xfId="10123" xr:uid="{134B451E-B32A-46E2-96C3-3F3138199B69}"/>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08FE6186-D370-4892-BF44-DA03FFA3AF60}"/>
    <cellStyle name="Currency 5 3 4 5 2 3" xfId="12681" xr:uid="{F9428B1B-36A9-481B-B6AD-534C24D8F4F6}"/>
    <cellStyle name="Currency 5 3 4 5 3" xfId="6312" xr:uid="{00000000-0005-0000-0000-00001B0D0000}"/>
    <cellStyle name="Currency 5 3 4 5 3 2" xfId="14754" xr:uid="{A4D5D425-A394-45E3-849B-AF541FF098AE}"/>
    <cellStyle name="Currency 5 3 4 5 4" xfId="10536" xr:uid="{95F5DEBB-47F8-4F99-AF42-5B63A98C35C0}"/>
    <cellStyle name="Currency 5 3 4 6" xfId="2440" xr:uid="{00000000-0005-0000-0000-00001C0D0000}"/>
    <cellStyle name="Currency 5 3 4 6 2" xfId="6725" xr:uid="{00000000-0005-0000-0000-00001D0D0000}"/>
    <cellStyle name="Currency 5 3 4 6 2 2" xfId="15167" xr:uid="{BEAF66E4-39F2-4A51-95B0-CB572AF92C05}"/>
    <cellStyle name="Currency 5 3 4 6 3" xfId="10949" xr:uid="{F488E0AE-8D5B-4E61-88F0-3111B9480242}"/>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07CA9E0F-60D1-41D4-BE4C-2E59BCE7F03C}"/>
    <cellStyle name="Currency 5 3 4 8 3" xfId="11266" xr:uid="{90F47C8F-64E7-439C-92AF-C28FE7CECB52}"/>
    <cellStyle name="Currency 5 3 4 9" xfId="4659" xr:uid="{00000000-0005-0000-0000-0000210D0000}"/>
    <cellStyle name="Currency 5 3 4 9 2" xfId="13101" xr:uid="{313CBF55-FE69-48E9-B91B-21D6E5724CB4}"/>
    <cellStyle name="Currency 5 3 5" xfId="217" xr:uid="{00000000-0005-0000-0000-0000220D0000}"/>
    <cellStyle name="Currency 5 3 5 10" xfId="8884" xr:uid="{A508222C-E6E7-433C-84A2-D65BFEABAAD9}"/>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062890B2-6428-47C7-82EF-A61AD39A693F}"/>
    <cellStyle name="Currency 5 3 5 2 2 3" xfId="11443" xr:uid="{17D6B633-1403-4BE9-AAFB-5613B5EE77FC}"/>
    <cellStyle name="Currency 5 3 5 2 3" xfId="5074" xr:uid="{00000000-0005-0000-0000-0000260D0000}"/>
    <cellStyle name="Currency 5 3 5 2 3 2" xfId="13516" xr:uid="{B3FF4642-B232-4F8C-AC35-F17BD6DAE441}"/>
    <cellStyle name="Currency 5 3 5 2 4" xfId="9298" xr:uid="{C876BED3-8E76-4906-8D96-9F5E4128FBE1}"/>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A4390129-5210-4287-820F-78CCECF1EC6F}"/>
    <cellStyle name="Currency 5 3 5 3 2 3" xfId="11856" xr:uid="{3F35626C-C5E0-4FEA-917D-241AAE19E690}"/>
    <cellStyle name="Currency 5 3 5 3 3" xfId="5487" xr:uid="{00000000-0005-0000-0000-00002A0D0000}"/>
    <cellStyle name="Currency 5 3 5 3 3 2" xfId="13929" xr:uid="{64D301AA-6FF6-4882-AD94-C546D43A8A6B}"/>
    <cellStyle name="Currency 5 3 5 3 4" xfId="9711" xr:uid="{8F6EF93D-F590-4B91-A564-EF0EDB8257CF}"/>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C3E600D0-A10C-4E11-B25A-D81919B1FC31}"/>
    <cellStyle name="Currency 5 3 5 4 2 3" xfId="12269" xr:uid="{800C9E81-0B22-453A-9B39-5F623507283A}"/>
    <cellStyle name="Currency 5 3 5 4 3" xfId="5900" xr:uid="{00000000-0005-0000-0000-00002E0D0000}"/>
    <cellStyle name="Currency 5 3 5 4 3 2" xfId="14342" xr:uid="{BD524BAB-05CC-48AF-8FB9-10246F6E4960}"/>
    <cellStyle name="Currency 5 3 5 4 4" xfId="10124" xr:uid="{52921769-2484-48E0-AF87-25A6EC6663D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A97096C8-A9C9-47CC-8C48-FD12F630F3C1}"/>
    <cellStyle name="Currency 5 3 5 5 2 3" xfId="12682" xr:uid="{FE62C18C-1AA1-46F5-9870-0B56CCEE9B0D}"/>
    <cellStyle name="Currency 5 3 5 5 3" xfId="6313" xr:uid="{00000000-0005-0000-0000-0000320D0000}"/>
    <cellStyle name="Currency 5 3 5 5 3 2" xfId="14755" xr:uid="{9EB148C9-1847-4762-917B-056F022CFE58}"/>
    <cellStyle name="Currency 5 3 5 5 4" xfId="10537" xr:uid="{5C73C64A-2A78-4685-B10D-531A5C263EB8}"/>
    <cellStyle name="Currency 5 3 5 6" xfId="2441" xr:uid="{00000000-0005-0000-0000-0000330D0000}"/>
    <cellStyle name="Currency 5 3 5 6 2" xfId="6726" xr:uid="{00000000-0005-0000-0000-0000340D0000}"/>
    <cellStyle name="Currency 5 3 5 6 2 2" xfId="15168" xr:uid="{5DDC40A6-8F11-415D-93A2-309C3C3110A6}"/>
    <cellStyle name="Currency 5 3 5 6 3" xfId="10950" xr:uid="{08768450-9F7B-4E39-94C8-4F3416AE1EAC}"/>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15E63F96-4794-4A8A-8189-08D48C45E7B1}"/>
    <cellStyle name="Currency 5 3 5 8 3" xfId="11267" xr:uid="{E7066A10-29BF-47CC-B984-E147E6AA9FAC}"/>
    <cellStyle name="Currency 5 3 5 9" xfId="4660" xr:uid="{00000000-0005-0000-0000-0000380D0000}"/>
    <cellStyle name="Currency 5 3 5 9 2" xfId="13102" xr:uid="{102AD4FB-DB72-4545-AE7D-4D5C15D4942C}"/>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2EE181B0-F15C-401A-B6F9-1CF5E6D8879D}"/>
    <cellStyle name="Currency 5 5 11" xfId="8885" xr:uid="{29A7BEEE-B0F3-4852-880D-28F991EA1C67}"/>
    <cellStyle name="Currency 5 5 2" xfId="220" xr:uid="{00000000-0005-0000-0000-00003D0D0000}"/>
    <cellStyle name="Currency 5 5 2 10" xfId="8886" xr:uid="{35650CAD-2598-49B4-8BD7-9C8E5F8D121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FFF8C7AA-6720-4FF4-BA90-14A18595A126}"/>
    <cellStyle name="Currency 5 5 2 2 2 3" xfId="11445" xr:uid="{AD85329C-2BCF-45D4-B586-7AE38C3BB630}"/>
    <cellStyle name="Currency 5 5 2 2 3" xfId="5076" xr:uid="{00000000-0005-0000-0000-0000410D0000}"/>
    <cellStyle name="Currency 5 5 2 2 3 2" xfId="13518" xr:uid="{D0546440-E709-483E-B006-73DE82DD12AE}"/>
    <cellStyle name="Currency 5 5 2 2 4" xfId="9300" xr:uid="{7D5A3AD9-4DB5-409F-8120-F2152C3B2B19}"/>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1C0D6D6A-5CB8-46D9-B221-D0E00C71ACFC}"/>
    <cellStyle name="Currency 5 5 2 3 2 3" xfId="11858" xr:uid="{D1352C5D-4967-45DD-8504-A3C9B065E3C8}"/>
    <cellStyle name="Currency 5 5 2 3 3" xfId="5489" xr:uid="{00000000-0005-0000-0000-0000450D0000}"/>
    <cellStyle name="Currency 5 5 2 3 3 2" xfId="13931" xr:uid="{80691486-6A05-4703-ABED-898445233E56}"/>
    <cellStyle name="Currency 5 5 2 3 4" xfId="9713" xr:uid="{5DDF31C8-0207-4D67-A52D-4937992BD42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237E1C7D-7253-4578-88FA-30B0C897EB24}"/>
    <cellStyle name="Currency 5 5 2 4 2 3" xfId="12271" xr:uid="{D36E5EB2-8AC4-4C59-A5EE-9F90F1B9415F}"/>
    <cellStyle name="Currency 5 5 2 4 3" xfId="5902" xr:uid="{00000000-0005-0000-0000-0000490D0000}"/>
    <cellStyle name="Currency 5 5 2 4 3 2" xfId="14344" xr:uid="{6C8CEC25-47E0-4E8B-80E4-DB66E8D9A6FF}"/>
    <cellStyle name="Currency 5 5 2 4 4" xfId="10126" xr:uid="{97005E62-B9C5-4258-9A0B-1E67A92D689D}"/>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487DF561-BADA-4506-B6CD-A5ACED75A7CA}"/>
    <cellStyle name="Currency 5 5 2 5 2 3" xfId="12684" xr:uid="{D5446DF8-CAF6-4F12-A5E0-57D48B43D51A}"/>
    <cellStyle name="Currency 5 5 2 5 3" xfId="6315" xr:uid="{00000000-0005-0000-0000-00004D0D0000}"/>
    <cellStyle name="Currency 5 5 2 5 3 2" xfId="14757" xr:uid="{0472FCD4-0379-4ADD-85A6-9BB5F3AB643A}"/>
    <cellStyle name="Currency 5 5 2 5 4" xfId="10539" xr:uid="{81BDAF4F-27C7-4F71-A214-6783403333F8}"/>
    <cellStyle name="Currency 5 5 2 6" xfId="2443" xr:uid="{00000000-0005-0000-0000-00004E0D0000}"/>
    <cellStyle name="Currency 5 5 2 6 2" xfId="6728" xr:uid="{00000000-0005-0000-0000-00004F0D0000}"/>
    <cellStyle name="Currency 5 5 2 6 2 2" xfId="15170" xr:uid="{27D22CAF-414C-4D85-8BA4-CA19AAF974D8}"/>
    <cellStyle name="Currency 5 5 2 6 3" xfId="10952" xr:uid="{1DBC9564-6423-4CFA-8BDA-112B09E06F5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AD4BA890-8CD6-4F30-AA8E-E1AE9391A1ED}"/>
    <cellStyle name="Currency 5 5 2 8 3" xfId="11269" xr:uid="{466E7B29-0779-4C01-A863-0496FE0D3A25}"/>
    <cellStyle name="Currency 5 5 2 9" xfId="4662" xr:uid="{00000000-0005-0000-0000-0000530D0000}"/>
    <cellStyle name="Currency 5 5 2 9 2" xfId="13104" xr:uid="{04DC728D-8EA6-4C91-B886-CD50546A3667}"/>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250EFC31-E40F-4BB5-BC15-B45E74DA6A81}"/>
    <cellStyle name="Currency 5 5 3 2 3" xfId="11444" xr:uid="{2A326469-A3E1-4943-872E-545AA67AA747}"/>
    <cellStyle name="Currency 5 5 3 3" xfId="5075" xr:uid="{00000000-0005-0000-0000-0000570D0000}"/>
    <cellStyle name="Currency 5 5 3 3 2" xfId="13517" xr:uid="{E4980841-9EDA-439F-A13D-CF90A71328E1}"/>
    <cellStyle name="Currency 5 5 3 4" xfId="9299" xr:uid="{D7B493D4-1B85-4229-9ED6-1A478750E76B}"/>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0C02F0C6-7A53-4833-8134-D529C795D122}"/>
    <cellStyle name="Currency 5 5 4 2 3" xfId="11857" xr:uid="{A49502B6-F152-4E51-B30A-BE13192CEA3B}"/>
    <cellStyle name="Currency 5 5 4 3" xfId="5488" xr:uid="{00000000-0005-0000-0000-00005B0D0000}"/>
    <cellStyle name="Currency 5 5 4 3 2" xfId="13930" xr:uid="{85A515DA-ADB2-424E-B359-513F4884391B}"/>
    <cellStyle name="Currency 5 5 4 4" xfId="9712" xr:uid="{CE0E7E1F-B693-4DF5-B0F7-60163C85026D}"/>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99102A5E-31F5-4BA0-98AA-1BFDEA69B050}"/>
    <cellStyle name="Currency 5 5 5 2 3" xfId="12270" xr:uid="{77053AE2-03C0-4F4C-BD7D-3E202CD84CC0}"/>
    <cellStyle name="Currency 5 5 5 3" xfId="5901" xr:uid="{00000000-0005-0000-0000-00005F0D0000}"/>
    <cellStyle name="Currency 5 5 5 3 2" xfId="14343" xr:uid="{CFE4CCDA-38C2-4116-9C93-0DF66871773A}"/>
    <cellStyle name="Currency 5 5 5 4" xfId="10125" xr:uid="{38203539-9D09-4B36-B7D8-959D2DF20802}"/>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011B460B-B3A8-4C3A-A45F-667395A13EE3}"/>
    <cellStyle name="Currency 5 5 6 2 3" xfId="12683" xr:uid="{7F3EB488-B1EE-4754-B637-A2E3DE86A47F}"/>
    <cellStyle name="Currency 5 5 6 3" xfId="6314" xr:uid="{00000000-0005-0000-0000-0000630D0000}"/>
    <cellStyle name="Currency 5 5 6 3 2" xfId="14756" xr:uid="{5847FCF4-423C-4472-89FB-10971C4028DC}"/>
    <cellStyle name="Currency 5 5 6 4" xfId="10538" xr:uid="{FF73B9F1-942B-42CD-9CE9-F07900719D6C}"/>
    <cellStyle name="Currency 5 5 7" xfId="2442" xr:uid="{00000000-0005-0000-0000-0000640D0000}"/>
    <cellStyle name="Currency 5 5 7 2" xfId="6727" xr:uid="{00000000-0005-0000-0000-0000650D0000}"/>
    <cellStyle name="Currency 5 5 7 2 2" xfId="15169" xr:uid="{32CB57AD-ED27-4097-AE0D-DDA260C5E092}"/>
    <cellStyle name="Currency 5 5 7 3" xfId="10951" xr:uid="{17F176EE-8ED0-49C2-A19B-DF04B5826BFF}"/>
    <cellStyle name="Currency 5 5 8" xfId="2739" xr:uid="{00000000-0005-0000-0000-0000660D0000}"/>
    <cellStyle name="Currency 5 5 9" xfId="2820" xr:uid="{00000000-0005-0000-0000-0000670D0000}"/>
    <cellStyle name="Currency 5 5 9 2" xfId="7044" xr:uid="{00000000-0005-0000-0000-0000680D0000}"/>
    <cellStyle name="Currency 5 5 9 2 2" xfId="15486" xr:uid="{7ED4AD83-4628-42AA-9A41-111F350B1E2C}"/>
    <cellStyle name="Currency 5 5 9 3" xfId="11268" xr:uid="{C84E512B-E408-4BB8-B651-8EEE3A7758C0}"/>
    <cellStyle name="Currency 5 6" xfId="221" xr:uid="{00000000-0005-0000-0000-0000690D0000}"/>
    <cellStyle name="Currency 5 6 10" xfId="8887" xr:uid="{9F1A8BA2-29AA-4A0C-B778-C3C4E1956DA4}"/>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A5673320-4034-4715-8197-8B4A938C5C69}"/>
    <cellStyle name="Currency 5 6 2 2 3" xfId="11446" xr:uid="{94A5A411-EC23-44C5-A41A-011181363BEF}"/>
    <cellStyle name="Currency 5 6 2 3" xfId="5077" xr:uid="{00000000-0005-0000-0000-00006D0D0000}"/>
    <cellStyle name="Currency 5 6 2 3 2" xfId="13519" xr:uid="{5FD6174B-A696-40AC-A636-66E435B4C0D8}"/>
    <cellStyle name="Currency 5 6 2 4" xfId="9301" xr:uid="{DCEE451E-8078-4FA7-8A0A-40409FA007C1}"/>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8183FD04-C7FC-4D6B-BA2C-69296FF4AF71}"/>
    <cellStyle name="Currency 5 6 3 2 3" xfId="11859" xr:uid="{AA78D136-4A07-45B9-9A3C-C4E9B5B486B4}"/>
    <cellStyle name="Currency 5 6 3 3" xfId="5490" xr:uid="{00000000-0005-0000-0000-0000710D0000}"/>
    <cellStyle name="Currency 5 6 3 3 2" xfId="13932" xr:uid="{7E29C1AC-6AED-46E8-81B2-AA4EBF8D669C}"/>
    <cellStyle name="Currency 5 6 3 4" xfId="9714" xr:uid="{DEC184F9-7A27-4597-A30E-A399A1E765D6}"/>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19E0DBEF-BF9D-4DBC-8AB8-E65042E8BC69}"/>
    <cellStyle name="Currency 5 6 4 2 3" xfId="12272" xr:uid="{439ACB77-3591-486B-81DF-D40439B3EECD}"/>
    <cellStyle name="Currency 5 6 4 3" xfId="5903" xr:uid="{00000000-0005-0000-0000-0000750D0000}"/>
    <cellStyle name="Currency 5 6 4 3 2" xfId="14345" xr:uid="{E3B755E0-E118-4C1E-B177-2C9FF5B4A400}"/>
    <cellStyle name="Currency 5 6 4 4" xfId="10127" xr:uid="{D7561399-15E4-4F88-9BBD-757BC30C706A}"/>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CC1DB3A8-349D-4127-8A28-193E1DA0669D}"/>
    <cellStyle name="Currency 5 6 5 2 3" xfId="12685" xr:uid="{34BBB07B-F720-49A1-A4D4-48A75B06237B}"/>
    <cellStyle name="Currency 5 6 5 3" xfId="6316" xr:uid="{00000000-0005-0000-0000-0000790D0000}"/>
    <cellStyle name="Currency 5 6 5 3 2" xfId="14758" xr:uid="{FB78DE00-B615-4B8F-BD0D-01E87082356D}"/>
    <cellStyle name="Currency 5 6 5 4" xfId="10540" xr:uid="{8B35BC04-A368-47E6-A83B-7BB2896DA078}"/>
    <cellStyle name="Currency 5 6 6" xfId="2444" xr:uid="{00000000-0005-0000-0000-00007A0D0000}"/>
    <cellStyle name="Currency 5 6 6 2" xfId="6729" xr:uid="{00000000-0005-0000-0000-00007B0D0000}"/>
    <cellStyle name="Currency 5 6 6 2 2" xfId="15171" xr:uid="{0F953C3C-734B-4C26-B5D9-782DD6B8A47B}"/>
    <cellStyle name="Currency 5 6 6 3" xfId="10953" xr:uid="{CA2C29BA-A8A5-4FC6-88A8-8A552BD608F6}"/>
    <cellStyle name="Currency 5 6 7" xfId="2741" xr:uid="{00000000-0005-0000-0000-00007C0D0000}"/>
    <cellStyle name="Currency 5 6 8" xfId="2822" xr:uid="{00000000-0005-0000-0000-00007D0D0000}"/>
    <cellStyle name="Currency 5 6 8 2" xfId="7046" xr:uid="{00000000-0005-0000-0000-00007E0D0000}"/>
    <cellStyle name="Currency 5 6 8 2 2" xfId="15488" xr:uid="{7FEF312D-7FFD-4AF5-A5E4-7ED29A1F1A9A}"/>
    <cellStyle name="Currency 5 6 8 3" xfId="11270" xr:uid="{C600C6C4-7CED-430E-B284-C2AA716DD199}"/>
    <cellStyle name="Currency 5 6 9" xfId="4663" xr:uid="{00000000-0005-0000-0000-00007F0D0000}"/>
    <cellStyle name="Currency 5 6 9 2" xfId="13105" xr:uid="{2E355850-69E3-47E6-B829-E01E2D9E54EA}"/>
    <cellStyle name="Currency 5 7" xfId="222" xr:uid="{00000000-0005-0000-0000-0000800D0000}"/>
    <cellStyle name="Currency 5 7 10" xfId="8888" xr:uid="{A8BD21A1-CE75-4728-9F42-C87756356741}"/>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4DE544A2-4294-4105-A6C4-9298CA66FB46}"/>
    <cellStyle name="Currency 5 7 2 2 3" xfId="11447" xr:uid="{26CFE72D-5073-439B-B88B-666811A00C0C}"/>
    <cellStyle name="Currency 5 7 2 3" xfId="5078" xr:uid="{00000000-0005-0000-0000-0000840D0000}"/>
    <cellStyle name="Currency 5 7 2 3 2" xfId="13520" xr:uid="{8528DC03-5E7E-4D31-BB19-5C315F1F6D84}"/>
    <cellStyle name="Currency 5 7 2 4" xfId="9302" xr:uid="{CF631A51-9738-4D15-8D8F-F084B54650DD}"/>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3FC6D2F3-3E58-4B08-A40F-F0678898CE09}"/>
    <cellStyle name="Currency 5 7 3 2 3" xfId="11860" xr:uid="{A6E72D5C-1CE2-4289-A24E-066D84D8B605}"/>
    <cellStyle name="Currency 5 7 3 3" xfId="5491" xr:uid="{00000000-0005-0000-0000-0000880D0000}"/>
    <cellStyle name="Currency 5 7 3 3 2" xfId="13933" xr:uid="{DB16923A-A93C-4EF6-B47D-94DE353364F4}"/>
    <cellStyle name="Currency 5 7 3 4" xfId="9715" xr:uid="{3BE88520-0088-4B7B-95CE-9C680651DFC3}"/>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A6710EDB-2001-42A5-8D6C-F3C3207D4D0A}"/>
    <cellStyle name="Currency 5 7 4 2 3" xfId="12273" xr:uid="{E2D05DE7-53A3-4B36-A4B5-826D62F823A8}"/>
    <cellStyle name="Currency 5 7 4 3" xfId="5904" xr:uid="{00000000-0005-0000-0000-00008C0D0000}"/>
    <cellStyle name="Currency 5 7 4 3 2" xfId="14346" xr:uid="{5BBE1EC6-EE5D-4D05-BE66-EFA0DA0F658B}"/>
    <cellStyle name="Currency 5 7 4 4" xfId="10128" xr:uid="{A4904AFF-23FE-4FD3-814E-7A754D7FC9CF}"/>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F007C65E-8380-4B34-ACE9-3BDADA9EFB0D}"/>
    <cellStyle name="Currency 5 7 5 2 3" xfId="12686" xr:uid="{ED38081C-572C-42E2-A033-476329B5B202}"/>
    <cellStyle name="Currency 5 7 5 3" xfId="6317" xr:uid="{00000000-0005-0000-0000-0000900D0000}"/>
    <cellStyle name="Currency 5 7 5 3 2" xfId="14759" xr:uid="{1D9D6985-A6FB-40D0-8D03-24FEE998FDEB}"/>
    <cellStyle name="Currency 5 7 5 4" xfId="10541" xr:uid="{6C9C8B3F-A0DE-4FE3-8AD6-7D47FD8DC677}"/>
    <cellStyle name="Currency 5 7 6" xfId="2445" xr:uid="{00000000-0005-0000-0000-0000910D0000}"/>
    <cellStyle name="Currency 5 7 6 2" xfId="6730" xr:uid="{00000000-0005-0000-0000-0000920D0000}"/>
    <cellStyle name="Currency 5 7 6 2 2" xfId="15172" xr:uid="{39DDC785-8595-45CF-A6A3-B0E5EF58347C}"/>
    <cellStyle name="Currency 5 7 6 3" xfId="10954" xr:uid="{3496B07C-0DA2-4406-935F-D5D79CC1D262}"/>
    <cellStyle name="Currency 5 7 7" xfId="2742" xr:uid="{00000000-0005-0000-0000-0000930D0000}"/>
    <cellStyle name="Currency 5 7 8" xfId="2823" xr:uid="{00000000-0005-0000-0000-0000940D0000}"/>
    <cellStyle name="Currency 5 7 8 2" xfId="7047" xr:uid="{00000000-0005-0000-0000-0000950D0000}"/>
    <cellStyle name="Currency 5 7 8 2 2" xfId="15489" xr:uid="{F291B329-10EE-4E1D-A57B-D970FEAB0C0A}"/>
    <cellStyle name="Currency 5 7 8 3" xfId="11271" xr:uid="{B2CC716D-9044-4B18-BE06-96EBC4529E35}"/>
    <cellStyle name="Currency 5 7 9" xfId="4664" xr:uid="{00000000-0005-0000-0000-0000960D0000}"/>
    <cellStyle name="Currency 5 7 9 2" xfId="13106" xr:uid="{52B9BE6E-1F18-4D5C-87F8-FD6E36AE922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9406C55D-CDB9-494E-9817-23827860A60C}"/>
    <cellStyle name="Normal 12 10 3" xfId="10955" xr:uid="{6670E000-F764-42EB-A4DB-5605EF229FCC}"/>
    <cellStyle name="Normal 12 11" xfId="4665" xr:uid="{00000000-0005-0000-0000-0000CC0D0000}"/>
    <cellStyle name="Normal 12 11 2" xfId="13107" xr:uid="{9022DFBB-20BF-497F-8C74-72371E0D3119}"/>
    <cellStyle name="Normal 12 12" xfId="8889" xr:uid="{CFA40B9B-7A86-417B-8165-319BC7DB3519}"/>
    <cellStyle name="Normal 12 2" xfId="260" xr:uid="{00000000-0005-0000-0000-0000CD0D0000}"/>
    <cellStyle name="Normal 12 2 10" xfId="8890" xr:uid="{A9D7B9D6-DF5D-4903-B9E4-BEE169FC9CFA}"/>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ABF1A885-9AFF-4FA4-9897-0C78F4DB3958}"/>
    <cellStyle name="Normal 12 2 2 2 2 2 3" xfId="11451" xr:uid="{13E6AB11-5DDE-4A87-8688-537B58694B23}"/>
    <cellStyle name="Normal 12 2 2 2 2 3" xfId="5082" xr:uid="{00000000-0005-0000-0000-0000D30D0000}"/>
    <cellStyle name="Normal 12 2 2 2 2 3 2" xfId="13524" xr:uid="{846F5512-B0E8-41B6-B5A9-3EABBBA88FDE}"/>
    <cellStyle name="Normal 12 2 2 2 2 4" xfId="9306" xr:uid="{B73408BD-7E4A-48D8-9B69-6D8FD808004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9DAED165-ABDE-4AB1-A033-1BAEAF800799}"/>
    <cellStyle name="Normal 12 2 2 2 3 2 3" xfId="11864" xr:uid="{9A84C0C8-D8FE-41C7-B1C9-68F8FF22E01B}"/>
    <cellStyle name="Normal 12 2 2 2 3 3" xfId="5495" xr:uid="{00000000-0005-0000-0000-0000D70D0000}"/>
    <cellStyle name="Normal 12 2 2 2 3 3 2" xfId="13937" xr:uid="{38BE43BE-91CE-42F5-8E5E-3F909DAFF666}"/>
    <cellStyle name="Normal 12 2 2 2 3 4" xfId="9719" xr:uid="{768A8860-58EB-44CC-8568-14B34E7B28E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D0AD172C-150A-48DE-8DBB-D1C8A9F7F391}"/>
    <cellStyle name="Normal 12 2 2 2 4 2 3" xfId="12277" xr:uid="{D0484667-9F7C-477B-96C5-96C2A63BD35E}"/>
    <cellStyle name="Normal 12 2 2 2 4 3" xfId="5908" xr:uid="{00000000-0005-0000-0000-0000DB0D0000}"/>
    <cellStyle name="Normal 12 2 2 2 4 3 2" xfId="14350" xr:uid="{483A4E32-14B2-4B5B-B94D-81FA6C9CDF45}"/>
    <cellStyle name="Normal 12 2 2 2 4 4" xfId="10132" xr:uid="{3B17685A-AFD8-4655-A7BD-EC63001D65E4}"/>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5F64E72B-F6FD-4A28-8D22-67A698A08265}"/>
    <cellStyle name="Normal 12 2 2 2 5 2 3" xfId="12690" xr:uid="{63FDA0C8-F187-4E46-97F4-B390C13A18E6}"/>
    <cellStyle name="Normal 12 2 2 2 5 3" xfId="6321" xr:uid="{00000000-0005-0000-0000-0000DF0D0000}"/>
    <cellStyle name="Normal 12 2 2 2 5 3 2" xfId="14763" xr:uid="{E50341CA-F6EC-4DEF-BFD5-DE7F0B7057BB}"/>
    <cellStyle name="Normal 12 2 2 2 5 4" xfId="10545" xr:uid="{AFDCBA3D-7A03-4358-8A9C-06C6C71C7A95}"/>
    <cellStyle name="Normal 12 2 2 2 6" xfId="2450" xr:uid="{00000000-0005-0000-0000-0000E00D0000}"/>
    <cellStyle name="Normal 12 2 2 2 6 2" xfId="6734" xr:uid="{00000000-0005-0000-0000-0000E10D0000}"/>
    <cellStyle name="Normal 12 2 2 2 6 2 2" xfId="15176" xr:uid="{BEF40C27-9699-48BA-A5E6-B43C6D7DE7B1}"/>
    <cellStyle name="Normal 12 2 2 2 6 3" xfId="10958" xr:uid="{6A7BC3BC-2332-4F8F-90D6-76EBC98350B1}"/>
    <cellStyle name="Normal 12 2 2 2 7" xfId="4668" xr:uid="{00000000-0005-0000-0000-0000E20D0000}"/>
    <cellStyle name="Normal 12 2 2 2 7 2" xfId="13110" xr:uid="{25646EA7-1FD7-4B9C-9B7A-E74FB6E8F2FC}"/>
    <cellStyle name="Normal 12 2 2 2 8" xfId="8892" xr:uid="{8415A22D-262B-46BA-8EFC-1EDC0AD4F2E9}"/>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11FDE3B1-B5CA-4F52-A0E0-2DB8B041AFF5}"/>
    <cellStyle name="Normal 12 2 2 3 2 3" xfId="11450" xr:uid="{0A2CF62E-0744-4758-842C-B04556D2E923}"/>
    <cellStyle name="Normal 12 2 2 3 3" xfId="5081" xr:uid="{00000000-0005-0000-0000-0000E60D0000}"/>
    <cellStyle name="Normal 12 2 2 3 3 2" xfId="13523" xr:uid="{D66D2F59-1FFE-43AF-85EA-68AD0516B9DF}"/>
    <cellStyle name="Normal 12 2 2 3 4" xfId="9305" xr:uid="{AC1002DA-2F78-4F1A-8EFF-F7E12D825E27}"/>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0E206145-29C7-45CE-B08A-EE8172815B1D}"/>
    <cellStyle name="Normal 12 2 2 4 2 3" xfId="11863" xr:uid="{C38A1F24-1050-4B7D-BF58-B7F0F120751B}"/>
    <cellStyle name="Normal 12 2 2 4 3" xfId="5494" xr:uid="{00000000-0005-0000-0000-0000EA0D0000}"/>
    <cellStyle name="Normal 12 2 2 4 3 2" xfId="13936" xr:uid="{827494B7-97AD-4105-8641-190BE0C8FCB7}"/>
    <cellStyle name="Normal 12 2 2 4 4" xfId="9718" xr:uid="{C24938C9-7A67-49FA-A0D1-9F4E4E4785DD}"/>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FF5F4848-3E61-431F-A4BE-F60F0C94A3EC}"/>
    <cellStyle name="Normal 12 2 2 5 2 3" xfId="12276" xr:uid="{2702F38F-1812-4C5B-AB13-6DA94144C700}"/>
    <cellStyle name="Normal 12 2 2 5 3" xfId="5907" xr:uid="{00000000-0005-0000-0000-0000EE0D0000}"/>
    <cellStyle name="Normal 12 2 2 5 3 2" xfId="14349" xr:uid="{8E310CC9-DDC7-434E-B0CE-3F5B78DBE2CE}"/>
    <cellStyle name="Normal 12 2 2 5 4" xfId="10131" xr:uid="{538C8CFC-70A5-4F6B-9387-703FDCE881B6}"/>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495EBB1E-208E-4987-A542-79EDEED2AAF3}"/>
    <cellStyle name="Normal 12 2 2 6 2 3" xfId="12689" xr:uid="{8075D397-1C67-4B6C-A5E6-B5DA272BECD8}"/>
    <cellStyle name="Normal 12 2 2 6 3" xfId="6320" xr:uid="{00000000-0005-0000-0000-0000F20D0000}"/>
    <cellStyle name="Normal 12 2 2 6 3 2" xfId="14762" xr:uid="{8669C8E3-DC1D-4A49-BE65-A1D60F3EA43F}"/>
    <cellStyle name="Normal 12 2 2 6 4" xfId="10544" xr:uid="{C91A6EA1-F5D0-4D09-BA54-A455EB97F566}"/>
    <cellStyle name="Normal 12 2 2 7" xfId="2449" xr:uid="{00000000-0005-0000-0000-0000F30D0000}"/>
    <cellStyle name="Normal 12 2 2 7 2" xfId="6733" xr:uid="{00000000-0005-0000-0000-0000F40D0000}"/>
    <cellStyle name="Normal 12 2 2 7 2 2" xfId="15175" xr:uid="{5488BCDE-1BFE-46FE-9A21-8CF4D8472201}"/>
    <cellStyle name="Normal 12 2 2 7 3" xfId="10957" xr:uid="{C59A3B70-51A8-4CF8-9611-B799E12C4860}"/>
    <cellStyle name="Normal 12 2 2 8" xfId="4667" xr:uid="{00000000-0005-0000-0000-0000F50D0000}"/>
    <cellStyle name="Normal 12 2 2 8 2" xfId="13109" xr:uid="{7140C2CC-3CAE-4624-B8AB-D4BA99AFA39F}"/>
    <cellStyle name="Normal 12 2 2 9" xfId="8891" xr:uid="{1D205297-DC79-47AF-87E2-91BA5522E5DE}"/>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1C055080-E746-48DA-9721-175FDB523691}"/>
    <cellStyle name="Normal 12 2 3 2 2 3" xfId="11452" xr:uid="{EB6EC317-1280-4921-876B-C21FFAE3704E}"/>
    <cellStyle name="Normal 12 2 3 2 3" xfId="5083" xr:uid="{00000000-0005-0000-0000-0000FA0D0000}"/>
    <cellStyle name="Normal 12 2 3 2 3 2" xfId="13525" xr:uid="{4E348BBD-B2EF-4AAE-BF13-B86B62B98FEC}"/>
    <cellStyle name="Normal 12 2 3 2 4" xfId="9307" xr:uid="{875F87EE-AD70-440C-A29C-21C7D17B5173}"/>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44654C84-FC3E-4B37-9F82-525599FE09D4}"/>
    <cellStyle name="Normal 12 2 3 3 2 3" xfId="11865" xr:uid="{2040FFD5-8CF8-428D-A2A7-8A27495D48AB}"/>
    <cellStyle name="Normal 12 2 3 3 3" xfId="5496" xr:uid="{00000000-0005-0000-0000-0000FE0D0000}"/>
    <cellStyle name="Normal 12 2 3 3 3 2" xfId="13938" xr:uid="{A8ED5B18-4911-4FB8-B490-411C23207A89}"/>
    <cellStyle name="Normal 12 2 3 3 4" xfId="9720" xr:uid="{EB50D5EE-D306-40D9-BA38-CA4B89002179}"/>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BFFBF5CC-D18D-40A9-A937-A28933034FE5}"/>
    <cellStyle name="Normal 12 2 3 4 2 3" xfId="12278" xr:uid="{9562D3C1-5C66-480C-A577-67BD0E0EBF82}"/>
    <cellStyle name="Normal 12 2 3 4 3" xfId="5909" xr:uid="{00000000-0005-0000-0000-0000020E0000}"/>
    <cellStyle name="Normal 12 2 3 4 3 2" xfId="14351" xr:uid="{01394D72-507F-4094-9A29-A19FC022210B}"/>
    <cellStyle name="Normal 12 2 3 4 4" xfId="10133" xr:uid="{BD4D6693-4F60-4891-ACE3-7B246F430F22}"/>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8DCD4E8E-442E-4EE1-B80C-C2064737B229}"/>
    <cellStyle name="Normal 12 2 3 5 2 3" xfId="12691" xr:uid="{E519E87C-79A7-42E8-BF2D-7FC401F8C050}"/>
    <cellStyle name="Normal 12 2 3 5 3" xfId="6322" xr:uid="{00000000-0005-0000-0000-0000060E0000}"/>
    <cellStyle name="Normal 12 2 3 5 3 2" xfId="14764" xr:uid="{32695E6C-B863-4EB5-88D6-4FC12657F005}"/>
    <cellStyle name="Normal 12 2 3 5 4" xfId="10546" xr:uid="{32D51CC8-77AB-4BFE-8EC8-9FCC13301113}"/>
    <cellStyle name="Normal 12 2 3 6" xfId="2451" xr:uid="{00000000-0005-0000-0000-0000070E0000}"/>
    <cellStyle name="Normal 12 2 3 6 2" xfId="6735" xr:uid="{00000000-0005-0000-0000-0000080E0000}"/>
    <cellStyle name="Normal 12 2 3 6 2 2" xfId="15177" xr:uid="{766CD440-319E-4658-AB9B-C31C03816E89}"/>
    <cellStyle name="Normal 12 2 3 6 3" xfId="10959" xr:uid="{9974E632-4791-4188-BD69-10EBD001D119}"/>
    <cellStyle name="Normal 12 2 3 7" xfId="4669" xr:uid="{00000000-0005-0000-0000-0000090E0000}"/>
    <cellStyle name="Normal 12 2 3 7 2" xfId="13111" xr:uid="{F3E55AB6-CA0B-4A51-90BA-F3FCAF17C3F4}"/>
    <cellStyle name="Normal 12 2 3 8" xfId="8893" xr:uid="{603C33AE-C2E1-403B-81F3-5E415FCEA760}"/>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C669B518-7281-4367-A806-65B6E3057DA1}"/>
    <cellStyle name="Normal 12 2 4 2 3" xfId="11449" xr:uid="{7D618251-6D8B-4733-8498-E26F04DD1C59}"/>
    <cellStyle name="Normal 12 2 4 3" xfId="5080" xr:uid="{00000000-0005-0000-0000-00000D0E0000}"/>
    <cellStyle name="Normal 12 2 4 3 2" xfId="13522" xr:uid="{0D3F4A1F-115B-423A-BABB-44007FAA391F}"/>
    <cellStyle name="Normal 12 2 4 4" xfId="9304" xr:uid="{79A3A336-DA89-48D2-9B59-8CEA428E7494}"/>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8A33D39D-117F-4DAC-951A-40973B4F50D1}"/>
    <cellStyle name="Normal 12 2 5 2 3" xfId="11862" xr:uid="{EA82438B-CD89-4741-A1A0-6A706A534C18}"/>
    <cellStyle name="Normal 12 2 5 3" xfId="5493" xr:uid="{00000000-0005-0000-0000-0000110E0000}"/>
    <cellStyle name="Normal 12 2 5 3 2" xfId="13935" xr:uid="{97588EED-D758-4563-9532-63F6E37CC8C5}"/>
    <cellStyle name="Normal 12 2 5 4" xfId="9717" xr:uid="{55C1F2AB-CE62-4D16-BCDE-6270C9F84FA0}"/>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E7A03F9F-582E-4843-9CC2-F76196EC4D81}"/>
    <cellStyle name="Normal 12 2 6 2 3" xfId="12275" xr:uid="{372B3396-0288-4D8C-BD1C-5673D124E6FC}"/>
    <cellStyle name="Normal 12 2 6 3" xfId="5906" xr:uid="{00000000-0005-0000-0000-0000150E0000}"/>
    <cellStyle name="Normal 12 2 6 3 2" xfId="14348" xr:uid="{7414C492-BBAC-4D82-803D-04BF752B5373}"/>
    <cellStyle name="Normal 12 2 6 4" xfId="10130" xr:uid="{75A87436-0ACA-4CCC-8B9C-6E8BBBDEDDC9}"/>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1E11029E-7265-47F1-ADC0-A1254217DA25}"/>
    <cellStyle name="Normal 12 2 7 2 3" xfId="12688" xr:uid="{725EECD7-1280-400B-B23F-BD25BE56FB9C}"/>
    <cellStyle name="Normal 12 2 7 3" xfId="6319" xr:uid="{00000000-0005-0000-0000-0000190E0000}"/>
    <cellStyle name="Normal 12 2 7 3 2" xfId="14761" xr:uid="{C2C1DE60-F3F2-47B9-8EB4-806585C92B48}"/>
    <cellStyle name="Normal 12 2 7 4" xfId="10543" xr:uid="{9AA2C178-33DD-41D5-824D-F18A938E1C11}"/>
    <cellStyle name="Normal 12 2 8" xfId="2448" xr:uid="{00000000-0005-0000-0000-00001A0E0000}"/>
    <cellStyle name="Normal 12 2 8 2" xfId="6732" xr:uid="{00000000-0005-0000-0000-00001B0E0000}"/>
    <cellStyle name="Normal 12 2 8 2 2" xfId="15174" xr:uid="{102F338F-48A9-4537-A35D-7931893DB6D3}"/>
    <cellStyle name="Normal 12 2 8 3" xfId="10956" xr:uid="{B5FBFB61-ADE1-4672-BBC0-8BB79972638D}"/>
    <cellStyle name="Normal 12 2 9" xfId="4666" xr:uid="{00000000-0005-0000-0000-00001C0E0000}"/>
    <cellStyle name="Normal 12 2 9 2" xfId="13108" xr:uid="{4E872398-549F-4CC9-856B-773EEF69369F}"/>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7B3C78F1-DBED-42C9-B40D-B656022BDF3B}"/>
    <cellStyle name="Normal 12 3 2 2 2 3" xfId="11454" xr:uid="{873A1CAD-02E9-4A74-9EA5-749968345313}"/>
    <cellStyle name="Normal 12 3 2 2 3" xfId="5085" xr:uid="{00000000-0005-0000-0000-0000220E0000}"/>
    <cellStyle name="Normal 12 3 2 2 3 2" xfId="13527" xr:uid="{32F5F3B8-7650-44BF-B5CE-2C1DA273251A}"/>
    <cellStyle name="Normal 12 3 2 2 4" xfId="9309" xr:uid="{69318396-066A-49B2-AC4A-A2AC543E4F53}"/>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3E66C118-8172-423D-A12C-6E2206F67EFA}"/>
    <cellStyle name="Normal 12 3 2 3 2 3" xfId="11867" xr:uid="{C54D4D02-3952-4400-9B2A-3E1A00276EF8}"/>
    <cellStyle name="Normal 12 3 2 3 3" xfId="5498" xr:uid="{00000000-0005-0000-0000-0000260E0000}"/>
    <cellStyle name="Normal 12 3 2 3 3 2" xfId="13940" xr:uid="{4366793D-6555-4788-AC24-ADA78C3F02DD}"/>
    <cellStyle name="Normal 12 3 2 3 4" xfId="9722" xr:uid="{6B4559F9-6250-4203-9410-94E2219A779D}"/>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38FBFB86-701A-4504-997E-0B6F94318008}"/>
    <cellStyle name="Normal 12 3 2 4 2 3" xfId="12280" xr:uid="{2784E6C5-67A0-4198-938C-9471EBE4AB50}"/>
    <cellStyle name="Normal 12 3 2 4 3" xfId="5911" xr:uid="{00000000-0005-0000-0000-00002A0E0000}"/>
    <cellStyle name="Normal 12 3 2 4 3 2" xfId="14353" xr:uid="{011DBC03-78BF-4976-8676-904857E1F7FB}"/>
    <cellStyle name="Normal 12 3 2 4 4" xfId="10135" xr:uid="{727B3512-90FF-4050-B336-DA5095E1509F}"/>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D0E5F2C8-3366-46C2-B573-5CFDF369BFA9}"/>
    <cellStyle name="Normal 12 3 2 5 2 3" xfId="12693" xr:uid="{8369F800-8D4E-4BAE-ABE6-606091160FAC}"/>
    <cellStyle name="Normal 12 3 2 5 3" xfId="6324" xr:uid="{00000000-0005-0000-0000-00002E0E0000}"/>
    <cellStyle name="Normal 12 3 2 5 3 2" xfId="14766" xr:uid="{BDC7B97E-CA16-4F7E-9E5C-7E0AA990B003}"/>
    <cellStyle name="Normal 12 3 2 5 4" xfId="10548" xr:uid="{77AB3FB3-24B2-4506-9D54-59D3F15909E5}"/>
    <cellStyle name="Normal 12 3 2 6" xfId="2453" xr:uid="{00000000-0005-0000-0000-00002F0E0000}"/>
    <cellStyle name="Normal 12 3 2 6 2" xfId="6737" xr:uid="{00000000-0005-0000-0000-0000300E0000}"/>
    <cellStyle name="Normal 12 3 2 6 2 2" xfId="15179" xr:uid="{54FB2428-4531-4181-81EC-FA15D439E710}"/>
    <cellStyle name="Normal 12 3 2 6 3" xfId="10961" xr:uid="{7E9B0334-51BD-4DE1-8323-4806A31891B6}"/>
    <cellStyle name="Normal 12 3 2 7" xfId="4671" xr:uid="{00000000-0005-0000-0000-0000310E0000}"/>
    <cellStyle name="Normal 12 3 2 7 2" xfId="13113" xr:uid="{903D1A20-0176-4D21-AC98-C42F10874FC9}"/>
    <cellStyle name="Normal 12 3 2 8" xfId="8895" xr:uid="{99C630D7-EDB4-427B-98D2-9AF10664119C}"/>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F9E2020A-EC18-478F-936E-B1CB1F0E4851}"/>
    <cellStyle name="Normal 12 3 3 2 3" xfId="11453" xr:uid="{9D706C09-9163-4FBC-ABFC-288BA0F6394C}"/>
    <cellStyle name="Normal 12 3 3 3" xfId="5084" xr:uid="{00000000-0005-0000-0000-0000350E0000}"/>
    <cellStyle name="Normal 12 3 3 3 2" xfId="13526" xr:uid="{1C70D9B2-22D5-476E-A066-DF20401C3083}"/>
    <cellStyle name="Normal 12 3 3 4" xfId="9308" xr:uid="{30560081-1E7D-4CE4-93E3-D859BB840A7F}"/>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E75128BC-F90A-49CA-A16B-C474FC0E9777}"/>
    <cellStyle name="Normal 12 3 4 2 3" xfId="11866" xr:uid="{38069CEB-B47E-4332-BB44-6FADD12A8140}"/>
    <cellStyle name="Normal 12 3 4 3" xfId="5497" xr:uid="{00000000-0005-0000-0000-0000390E0000}"/>
    <cellStyle name="Normal 12 3 4 3 2" xfId="13939" xr:uid="{7C412304-70C8-4C27-9F06-D6584D1DDA86}"/>
    <cellStyle name="Normal 12 3 4 4" xfId="9721" xr:uid="{1F587FB0-4A3D-4493-81D5-407DC1EA46B6}"/>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C410916C-A2A5-42FE-BADD-9B32605D9ADF}"/>
    <cellStyle name="Normal 12 3 5 2 3" xfId="12279" xr:uid="{44F0A1D5-C6F3-409D-A483-618D015D163E}"/>
    <cellStyle name="Normal 12 3 5 3" xfId="5910" xr:uid="{00000000-0005-0000-0000-00003D0E0000}"/>
    <cellStyle name="Normal 12 3 5 3 2" xfId="14352" xr:uid="{F2A30F2D-A2C9-412D-9EC1-639CD3C324C4}"/>
    <cellStyle name="Normal 12 3 5 4" xfId="10134" xr:uid="{71E9D4CB-EAD4-4D30-B471-ED000854BD7F}"/>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2518540F-BA27-4932-B0E2-F347884CBCFE}"/>
    <cellStyle name="Normal 12 3 6 2 3" xfId="12692" xr:uid="{A0B92DAF-F985-43F3-B292-8FE310B1F526}"/>
    <cellStyle name="Normal 12 3 6 3" xfId="6323" xr:uid="{00000000-0005-0000-0000-0000410E0000}"/>
    <cellStyle name="Normal 12 3 6 3 2" xfId="14765" xr:uid="{C87C69F5-D08F-4A8B-A312-B0C69BA46837}"/>
    <cellStyle name="Normal 12 3 6 4" xfId="10547" xr:uid="{16CEBB63-8CF4-4C64-9D2A-3B3BCA19EAC0}"/>
    <cellStyle name="Normal 12 3 7" xfId="2452" xr:uid="{00000000-0005-0000-0000-0000420E0000}"/>
    <cellStyle name="Normal 12 3 7 2" xfId="6736" xr:uid="{00000000-0005-0000-0000-0000430E0000}"/>
    <cellStyle name="Normal 12 3 7 2 2" xfId="15178" xr:uid="{9A46AFE0-0EA4-49EB-AA41-8908A1E97228}"/>
    <cellStyle name="Normal 12 3 7 3" xfId="10960" xr:uid="{45447DD7-8BC9-4991-A755-CDAED2B8C7A1}"/>
    <cellStyle name="Normal 12 3 8" xfId="4670" xr:uid="{00000000-0005-0000-0000-0000440E0000}"/>
    <cellStyle name="Normal 12 3 8 2" xfId="13112" xr:uid="{4C67BCEF-182A-4E31-A8F2-5DB74AA07AAA}"/>
    <cellStyle name="Normal 12 3 9" xfId="8894" xr:uid="{11980BBA-82D6-4716-A18B-98929B88D88A}"/>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01294497-8896-4AA6-AD59-E730450DFE86}"/>
    <cellStyle name="Normal 12 4 2 2 3" xfId="11455" xr:uid="{FE57F5AF-5673-4E69-A457-F9237CE3A467}"/>
    <cellStyle name="Normal 12 4 2 3" xfId="5086" xr:uid="{00000000-0005-0000-0000-0000490E0000}"/>
    <cellStyle name="Normal 12 4 2 3 2" xfId="13528" xr:uid="{01EBBB04-45FD-47E7-B330-CA63453B9474}"/>
    <cellStyle name="Normal 12 4 2 4" xfId="9310" xr:uid="{0B97D274-304C-43E3-AB76-A06AAABC915C}"/>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3804AA2C-D67C-499A-AD8F-4948FB353A90}"/>
    <cellStyle name="Normal 12 4 3 2 3" xfId="11868" xr:uid="{10BECB52-9F91-4335-B353-DFEBAAC6DC1E}"/>
    <cellStyle name="Normal 12 4 3 3" xfId="5499" xr:uid="{00000000-0005-0000-0000-00004D0E0000}"/>
    <cellStyle name="Normal 12 4 3 3 2" xfId="13941" xr:uid="{FC06773A-7E82-440B-A026-F959EDF6034B}"/>
    <cellStyle name="Normal 12 4 3 4" xfId="9723" xr:uid="{07695F72-C5FA-430C-ACCA-00DFF3162407}"/>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C3C187BA-2247-410F-BCC6-A5B9FCFF0904}"/>
    <cellStyle name="Normal 12 4 4 2 3" xfId="12281" xr:uid="{6C58B97F-D888-418C-B027-2260C0C91496}"/>
    <cellStyle name="Normal 12 4 4 3" xfId="5912" xr:uid="{00000000-0005-0000-0000-0000510E0000}"/>
    <cellStyle name="Normal 12 4 4 3 2" xfId="14354" xr:uid="{C344603B-1695-4360-8EF5-C25121B92A20}"/>
    <cellStyle name="Normal 12 4 4 4" xfId="10136" xr:uid="{FD039BE7-0CEC-43F3-8ACB-BF25A83D130A}"/>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25115BA0-D6D6-4E1C-B045-256DC4F67407}"/>
    <cellStyle name="Normal 12 4 5 2 3" xfId="12694" xr:uid="{8135E768-123C-49E3-901E-CEEB879B4A56}"/>
    <cellStyle name="Normal 12 4 5 3" xfId="6325" xr:uid="{00000000-0005-0000-0000-0000550E0000}"/>
    <cellStyle name="Normal 12 4 5 3 2" xfId="14767" xr:uid="{C739B430-D26D-4CA4-832A-8AFE57218472}"/>
    <cellStyle name="Normal 12 4 5 4" xfId="10549" xr:uid="{1463034E-4146-413D-9E0B-67AEB1B7C5C5}"/>
    <cellStyle name="Normal 12 4 6" xfId="2454" xr:uid="{00000000-0005-0000-0000-0000560E0000}"/>
    <cellStyle name="Normal 12 4 6 2" xfId="6738" xr:uid="{00000000-0005-0000-0000-0000570E0000}"/>
    <cellStyle name="Normal 12 4 6 2 2" xfId="15180" xr:uid="{CE0C3F1C-57E9-475E-AC0D-80CEDB17A97D}"/>
    <cellStyle name="Normal 12 4 6 3" xfId="10962" xr:uid="{86D42A7B-B142-45EF-BB54-74AEB980E0D7}"/>
    <cellStyle name="Normal 12 4 7" xfId="4672" xr:uid="{00000000-0005-0000-0000-0000580E0000}"/>
    <cellStyle name="Normal 12 4 7 2" xfId="13114" xr:uid="{6CF4AD5A-2E3F-415F-989B-E8AF4D507337}"/>
    <cellStyle name="Normal 12 4 8" xfId="8896" xr:uid="{50CBB260-BA80-49C7-8140-D719166ED72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64F15F57-C973-4282-B4A2-76FBA87706AB}"/>
    <cellStyle name="Normal 12 6 2 3" xfId="11448" xr:uid="{9B49B259-DD2B-4D79-A03F-93F18A6AA930}"/>
    <cellStyle name="Normal 12 6 3" xfId="5079" xr:uid="{00000000-0005-0000-0000-00005D0E0000}"/>
    <cellStyle name="Normal 12 6 3 2" xfId="13521" xr:uid="{59DC42F1-D943-4FC1-A42F-FB40089079FC}"/>
    <cellStyle name="Normal 12 6 4" xfId="9303" xr:uid="{2EEA4E9E-DD07-4741-8F7F-D2B253B51EE8}"/>
    <cellStyle name="Normal 12 7" xfId="1183" xr:uid="{00000000-0005-0000-0000-00005E0E0000}"/>
    <cellStyle name="Normal 12 7 2" xfId="3414" xr:uid="{00000000-0005-0000-0000-00005F0E0000}"/>
    <cellStyle name="Normal 12 7 2 2" xfId="7637" xr:uid="{00000000-0005-0000-0000-0000600E0000}"/>
    <cellStyle name="Normal 12 7 2 2 2" xfId="16079" xr:uid="{1929F807-D96F-4E84-9973-93E1F37FB545}"/>
    <cellStyle name="Normal 12 7 2 3" xfId="11861" xr:uid="{39088A9E-EB87-49E7-96CE-EC21DE3AF664}"/>
    <cellStyle name="Normal 12 7 3" xfId="5492" xr:uid="{00000000-0005-0000-0000-0000610E0000}"/>
    <cellStyle name="Normal 12 7 3 2" xfId="13934" xr:uid="{B036D108-5635-44E3-839B-FDBD6B0B1AE3}"/>
    <cellStyle name="Normal 12 7 4" xfId="9716" xr:uid="{08BD4D33-FAC0-4A2F-A94C-703F1424983D}"/>
    <cellStyle name="Normal 12 8" xfId="1597" xr:uid="{00000000-0005-0000-0000-0000620E0000}"/>
    <cellStyle name="Normal 12 8 2" xfId="3827" xr:uid="{00000000-0005-0000-0000-0000630E0000}"/>
    <cellStyle name="Normal 12 8 2 2" xfId="8050" xr:uid="{00000000-0005-0000-0000-0000640E0000}"/>
    <cellStyle name="Normal 12 8 2 2 2" xfId="16492" xr:uid="{714967F0-FADA-4350-A146-8D95E73D2D4B}"/>
    <cellStyle name="Normal 12 8 2 3" xfId="12274" xr:uid="{7C5E98BC-875E-4E28-A2D3-E8D8905E6F9A}"/>
    <cellStyle name="Normal 12 8 3" xfId="5905" xr:uid="{00000000-0005-0000-0000-0000650E0000}"/>
    <cellStyle name="Normal 12 8 3 2" xfId="14347" xr:uid="{575C1F6E-B0D8-470C-BA04-881AEEFE7E6B}"/>
    <cellStyle name="Normal 12 8 4" xfId="10129" xr:uid="{17183B37-1513-421F-A980-20A4FA85706D}"/>
    <cellStyle name="Normal 12 9" xfId="2011" xr:uid="{00000000-0005-0000-0000-0000660E0000}"/>
    <cellStyle name="Normal 12 9 2" xfId="4240" xr:uid="{00000000-0005-0000-0000-0000670E0000}"/>
    <cellStyle name="Normal 12 9 2 2" xfId="8463" xr:uid="{00000000-0005-0000-0000-0000680E0000}"/>
    <cellStyle name="Normal 12 9 2 2 2" xfId="16905" xr:uid="{5477E51C-0EB9-4803-9D93-4DC1F9683B8D}"/>
    <cellStyle name="Normal 12 9 2 3" xfId="12687" xr:uid="{641BEAB7-2D09-4FD8-A45E-B522B940D875}"/>
    <cellStyle name="Normal 12 9 3" xfId="6318" xr:uid="{00000000-0005-0000-0000-0000690E0000}"/>
    <cellStyle name="Normal 12 9 3 2" xfId="14760" xr:uid="{458E01D2-9871-4B75-B753-39A49805646F}"/>
    <cellStyle name="Normal 12 9 4" xfId="10542" xr:uid="{7292A49B-B8D0-4418-B6C3-FA0078C1D0F9}"/>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5AA2F68F-1083-42F1-BF52-56DFE5149C27}"/>
    <cellStyle name="Normal 14 2 2 3" xfId="11456" xr:uid="{92C57CA2-FE72-41A0-97F8-25A8AB652AE2}"/>
    <cellStyle name="Normal 14 2 3" xfId="5087" xr:uid="{00000000-0005-0000-0000-0000700E0000}"/>
    <cellStyle name="Normal 14 2 3 2" xfId="13529" xr:uid="{F5817D1F-F58D-4715-B81E-5758165D6F5F}"/>
    <cellStyle name="Normal 14 2 4" xfId="9311" xr:uid="{79A1BC11-EE38-48E1-A42C-2A607D709B16}"/>
    <cellStyle name="Normal 14 3" xfId="1191" xr:uid="{00000000-0005-0000-0000-0000710E0000}"/>
    <cellStyle name="Normal 14 3 2" xfId="3422" xr:uid="{00000000-0005-0000-0000-0000720E0000}"/>
    <cellStyle name="Normal 14 3 2 2" xfId="7645" xr:uid="{00000000-0005-0000-0000-0000730E0000}"/>
    <cellStyle name="Normal 14 3 2 2 2" xfId="16087" xr:uid="{3C8D8AF3-D4CD-4705-A29D-BACDECF478ED}"/>
    <cellStyle name="Normal 14 3 2 3" xfId="11869" xr:uid="{A4AF66FE-381F-4759-951B-BDEFF2920A8A}"/>
    <cellStyle name="Normal 14 3 3" xfId="5500" xr:uid="{00000000-0005-0000-0000-0000740E0000}"/>
    <cellStyle name="Normal 14 3 3 2" xfId="13942" xr:uid="{F0176B8F-2184-45E1-9171-E4F2E320BDBB}"/>
    <cellStyle name="Normal 14 3 4" xfId="9724" xr:uid="{AAE4E199-5A7A-49D8-B4C7-14D68B238606}"/>
    <cellStyle name="Normal 14 4" xfId="1605" xr:uid="{00000000-0005-0000-0000-0000750E0000}"/>
    <cellStyle name="Normal 14 4 2" xfId="3835" xr:uid="{00000000-0005-0000-0000-0000760E0000}"/>
    <cellStyle name="Normal 14 4 2 2" xfId="8058" xr:uid="{00000000-0005-0000-0000-0000770E0000}"/>
    <cellStyle name="Normal 14 4 2 2 2" xfId="16500" xr:uid="{7E7B65C0-5848-4E7C-8015-DAA95E791A27}"/>
    <cellStyle name="Normal 14 4 2 3" xfId="12282" xr:uid="{CEDEE9EF-23E9-42CD-9CC4-4C6B9434DEC8}"/>
    <cellStyle name="Normal 14 4 3" xfId="5913" xr:uid="{00000000-0005-0000-0000-0000780E0000}"/>
    <cellStyle name="Normal 14 4 3 2" xfId="14355" xr:uid="{EEA06063-1B98-45F8-8D1E-9B5A5E9BD774}"/>
    <cellStyle name="Normal 14 4 4" xfId="10137" xr:uid="{799C6F41-A6CC-4970-9EC6-9B8AF16FBEDB}"/>
    <cellStyle name="Normal 14 5" xfId="2019" xr:uid="{00000000-0005-0000-0000-0000790E0000}"/>
    <cellStyle name="Normal 14 5 2" xfId="4248" xr:uid="{00000000-0005-0000-0000-00007A0E0000}"/>
    <cellStyle name="Normal 14 5 2 2" xfId="8471" xr:uid="{00000000-0005-0000-0000-00007B0E0000}"/>
    <cellStyle name="Normal 14 5 2 2 2" xfId="16913" xr:uid="{10BA6CB6-2E00-4DD1-97C5-1D80CE95BF8A}"/>
    <cellStyle name="Normal 14 5 2 3" xfId="12695" xr:uid="{5B700633-DAD4-49D2-AB69-3F27271E63F2}"/>
    <cellStyle name="Normal 14 5 3" xfId="6326" xr:uid="{00000000-0005-0000-0000-00007C0E0000}"/>
    <cellStyle name="Normal 14 5 3 2" xfId="14768" xr:uid="{DBEE5503-B625-485B-886C-0001031573B2}"/>
    <cellStyle name="Normal 14 5 4" xfId="10550" xr:uid="{FBD0A1ED-4CEA-4509-B06A-A3000B5F5F1A}"/>
    <cellStyle name="Normal 14 6" xfId="2455" xr:uid="{00000000-0005-0000-0000-00007D0E0000}"/>
    <cellStyle name="Normal 14 6 2" xfId="6739" xr:uid="{00000000-0005-0000-0000-00007E0E0000}"/>
    <cellStyle name="Normal 14 6 2 2" xfId="15181" xr:uid="{B36BE8FF-7A9E-42D3-9AFD-577E90CDA224}"/>
    <cellStyle name="Normal 14 6 3" xfId="10963" xr:uid="{558489AA-988D-48E5-BDD2-351498CBE336}"/>
    <cellStyle name="Normal 14 7" xfId="4673" xr:uid="{00000000-0005-0000-0000-00007F0E0000}"/>
    <cellStyle name="Normal 14 7 2" xfId="13115" xr:uid="{3D74BE49-9C15-4652-81CA-8D002FB86BDC}"/>
    <cellStyle name="Normal 14 8" xfId="8897" xr:uid="{718ED424-3902-4F3E-967D-7465D9B11E9E}"/>
    <cellStyle name="Normal 15" xfId="4496" xr:uid="{00000000-0005-0000-0000-0000800E0000}"/>
    <cellStyle name="Normal 15 2" xfId="12941" xr:uid="{8FF9C70D-E7AD-4AD3-81DC-411D83476CF7}"/>
    <cellStyle name="Normal 16" xfId="4500" xr:uid="{00000000-0005-0000-0000-0000810E0000}"/>
    <cellStyle name="Normal 16 2" xfId="8716" xr:uid="{00000000-0005-0000-0000-0000820E0000}"/>
    <cellStyle name="Normal 16 2 2" xfId="17158" xr:uid="{6773B950-9785-46EB-9CC3-212BF412DE59}"/>
    <cellStyle name="Normal 16 3" xfId="8719" xr:uid="{3DE1BEEB-61FA-4094-B10F-9E0444F68763}"/>
    <cellStyle name="Normal 16 3 2" xfId="8723" xr:uid="{FE0BC069-4698-40B2-814D-8E09719245E9}"/>
    <cellStyle name="Normal 16 3 2 2" xfId="8726" xr:uid="{D3E9609F-293A-4CFC-B194-1FF2F92D621D}"/>
    <cellStyle name="Normal 16 3 2 3" xfId="17164" xr:uid="{FCA0E902-821F-45F8-B98A-5C118B0F9C87}"/>
    <cellStyle name="Normal 16 3 3" xfId="17161" xr:uid="{8D9C28F1-AFB6-4766-95CF-7C31905DDBE2}"/>
    <cellStyle name="Normal 16 4" xfId="12944" xr:uid="{E517E809-A2BE-40A5-B0BA-BED8997CBE1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D29EFC5C-2FF1-4A5D-8141-D06F6534B1F6}"/>
    <cellStyle name="Normal 2 4 2 10 2 3" xfId="12696" xr:uid="{FC72DDA0-4905-4C9C-9FAF-94101BC69ACF}"/>
    <cellStyle name="Normal 2 4 2 10 3" xfId="6327" xr:uid="{00000000-0005-0000-0000-0000910E0000}"/>
    <cellStyle name="Normal 2 4 2 10 3 2" xfId="14769" xr:uid="{62D35077-EED5-432C-8E2F-AE4D19CF4C07}"/>
    <cellStyle name="Normal 2 4 2 10 4" xfId="10551" xr:uid="{837AAAEE-34DE-4F7C-8F9E-5D8E4A313DA4}"/>
    <cellStyle name="Normal 2 4 2 11" xfId="2456" xr:uid="{00000000-0005-0000-0000-0000920E0000}"/>
    <cellStyle name="Normal 2 4 2 11 2" xfId="6740" xr:uid="{00000000-0005-0000-0000-0000930E0000}"/>
    <cellStyle name="Normal 2 4 2 11 2 2" xfId="15182" xr:uid="{159C906E-56E0-4831-841D-BB9ED86D86F9}"/>
    <cellStyle name="Normal 2 4 2 11 3" xfId="10964" xr:uid="{76409DF6-232B-4A2A-AD94-7D42CFA2C33D}"/>
    <cellStyle name="Normal 2 4 2 12" xfId="4674" xr:uid="{00000000-0005-0000-0000-0000940E0000}"/>
    <cellStyle name="Normal 2 4 2 12 2" xfId="13116" xr:uid="{819B5A93-B802-452B-A6D4-D248F40E6426}"/>
    <cellStyle name="Normal 2 4 2 13" xfId="8898" xr:uid="{D5EC0A2F-A99C-4CC3-9631-142A8A4C4957}"/>
    <cellStyle name="Normal 2 4 2 2" xfId="280" xr:uid="{00000000-0005-0000-0000-0000950E0000}"/>
    <cellStyle name="Normal 2 4 2 3" xfId="281" xr:uid="{00000000-0005-0000-0000-0000960E0000}"/>
    <cellStyle name="Normal 2 4 2 3 10" xfId="4675" xr:uid="{00000000-0005-0000-0000-0000970E0000}"/>
    <cellStyle name="Normal 2 4 2 3 10 2" xfId="13117" xr:uid="{EF12DA6C-78CF-4BDC-A61A-2F1CFB1245C2}"/>
    <cellStyle name="Normal 2 4 2 3 11" xfId="8899" xr:uid="{FA935AA1-498F-40F6-883A-D7D5A2DC7355}"/>
    <cellStyle name="Normal 2 4 2 3 2" xfId="282" xr:uid="{00000000-0005-0000-0000-0000980E0000}"/>
    <cellStyle name="Normal 2 4 2 3 2 10" xfId="8900" xr:uid="{6609F191-E6CB-419F-AFD1-F41449EC5C76}"/>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1321FE1F-9802-4CC1-B24A-D2B7CEAEDAF8}"/>
    <cellStyle name="Normal 2 4 2 3 2 2 2 2 2 3" xfId="11461" xr:uid="{E1A942B6-A15A-4CB7-A88B-4B71F2E357A0}"/>
    <cellStyle name="Normal 2 4 2 3 2 2 2 2 3" xfId="5092" xr:uid="{00000000-0005-0000-0000-00009E0E0000}"/>
    <cellStyle name="Normal 2 4 2 3 2 2 2 2 3 2" xfId="13534" xr:uid="{A26C38C7-4855-40CC-96BC-36C9423C75A5}"/>
    <cellStyle name="Normal 2 4 2 3 2 2 2 2 4" xfId="9316" xr:uid="{10C18F1D-B9AE-41A0-A823-1017E0DF0CC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192A99C6-449F-48A0-981E-CBCA10A07756}"/>
    <cellStyle name="Normal 2 4 2 3 2 2 2 3 2 3" xfId="11874" xr:uid="{9F83F3A1-0C67-4E37-9B2B-6926D28AE4AB}"/>
    <cellStyle name="Normal 2 4 2 3 2 2 2 3 3" xfId="5505" xr:uid="{00000000-0005-0000-0000-0000A20E0000}"/>
    <cellStyle name="Normal 2 4 2 3 2 2 2 3 3 2" xfId="13947" xr:uid="{C498DFC7-484D-4D9F-A81E-AE13F1B6E965}"/>
    <cellStyle name="Normal 2 4 2 3 2 2 2 3 4" xfId="9729" xr:uid="{0FF3D583-80F5-4963-8541-58D4C736A7FC}"/>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701F30D7-4BF7-42FD-AE8F-7F796274B271}"/>
    <cellStyle name="Normal 2 4 2 3 2 2 2 4 2 3" xfId="12287" xr:uid="{09E0E889-6F82-48BF-8AA4-057FC376810E}"/>
    <cellStyle name="Normal 2 4 2 3 2 2 2 4 3" xfId="5918" xr:uid="{00000000-0005-0000-0000-0000A60E0000}"/>
    <cellStyle name="Normal 2 4 2 3 2 2 2 4 3 2" xfId="14360" xr:uid="{E9D9FCA4-E647-4EEB-940B-7D44B95388C1}"/>
    <cellStyle name="Normal 2 4 2 3 2 2 2 4 4" xfId="10142" xr:uid="{90D51E75-5D6E-47F9-BE3E-48D6E8D0B31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218B07C3-ECFB-4C93-90FD-9F7BF7889304}"/>
    <cellStyle name="Normal 2 4 2 3 2 2 2 5 2 3" xfId="12700" xr:uid="{D4BD90E5-0EF9-438A-9BFC-A68A15F055E9}"/>
    <cellStyle name="Normal 2 4 2 3 2 2 2 5 3" xfId="6331" xr:uid="{00000000-0005-0000-0000-0000AA0E0000}"/>
    <cellStyle name="Normal 2 4 2 3 2 2 2 5 3 2" xfId="14773" xr:uid="{E2F48E38-A96B-483B-855D-BFC837DA2942}"/>
    <cellStyle name="Normal 2 4 2 3 2 2 2 5 4" xfId="10555" xr:uid="{19896C9D-74CD-4947-BFB4-CC69255B0B85}"/>
    <cellStyle name="Normal 2 4 2 3 2 2 2 6" xfId="2460" xr:uid="{00000000-0005-0000-0000-0000AB0E0000}"/>
    <cellStyle name="Normal 2 4 2 3 2 2 2 6 2" xfId="6744" xr:uid="{00000000-0005-0000-0000-0000AC0E0000}"/>
    <cellStyle name="Normal 2 4 2 3 2 2 2 6 2 2" xfId="15186" xr:uid="{E40131EC-D9C0-4FC3-8E43-78B59FF9CEA2}"/>
    <cellStyle name="Normal 2 4 2 3 2 2 2 6 3" xfId="10968" xr:uid="{F6CED7EA-D40A-4062-9191-360511F8711E}"/>
    <cellStyle name="Normal 2 4 2 3 2 2 2 7" xfId="4678" xr:uid="{00000000-0005-0000-0000-0000AD0E0000}"/>
    <cellStyle name="Normal 2 4 2 3 2 2 2 7 2" xfId="13120" xr:uid="{4BC15652-8E7E-4C43-AAE1-A5D73991EA24}"/>
    <cellStyle name="Normal 2 4 2 3 2 2 2 8" xfId="8902" xr:uid="{26231A66-E0C4-4501-8BE0-5D778EF2906A}"/>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EC5C8981-721D-4E9A-B4BA-3F65AA1F084E}"/>
    <cellStyle name="Normal 2 4 2 3 2 2 3 2 3" xfId="11460" xr:uid="{A149FB18-6C70-4EAC-82DF-442657C26E5F}"/>
    <cellStyle name="Normal 2 4 2 3 2 2 3 3" xfId="5091" xr:uid="{00000000-0005-0000-0000-0000B10E0000}"/>
    <cellStyle name="Normal 2 4 2 3 2 2 3 3 2" xfId="13533" xr:uid="{52E2BB59-2B99-4E3A-8E9F-D29809A4C650}"/>
    <cellStyle name="Normal 2 4 2 3 2 2 3 4" xfId="9315" xr:uid="{D75EBE62-F01E-4441-94E4-66B023740748}"/>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EC185093-EE7A-4AB9-8614-7BE74F76B914}"/>
    <cellStyle name="Normal 2 4 2 3 2 2 4 2 3" xfId="11873" xr:uid="{08F39597-6F22-479B-BF74-859D60CC445D}"/>
    <cellStyle name="Normal 2 4 2 3 2 2 4 3" xfId="5504" xr:uid="{00000000-0005-0000-0000-0000B50E0000}"/>
    <cellStyle name="Normal 2 4 2 3 2 2 4 3 2" xfId="13946" xr:uid="{162AB3D6-62B9-4C96-AE3F-F4EEFC960BB4}"/>
    <cellStyle name="Normal 2 4 2 3 2 2 4 4" xfId="9728" xr:uid="{7DCACBC7-F37D-44DA-9376-4A8C5BB507AE}"/>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909FA218-A9B1-4F29-A18D-D7E07EFE10E4}"/>
    <cellStyle name="Normal 2 4 2 3 2 2 5 2 3" xfId="12286" xr:uid="{5319494E-0CAE-45C4-8C52-59B89A4DDAD1}"/>
    <cellStyle name="Normal 2 4 2 3 2 2 5 3" xfId="5917" xr:uid="{00000000-0005-0000-0000-0000B90E0000}"/>
    <cellStyle name="Normal 2 4 2 3 2 2 5 3 2" xfId="14359" xr:uid="{DA318EC0-C52F-4E84-B24B-829949ECBB81}"/>
    <cellStyle name="Normal 2 4 2 3 2 2 5 4" xfId="10141" xr:uid="{392EB916-799F-477B-BF14-B1F6F5A53A19}"/>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78F0CAA0-30A6-42B2-ACFB-404F5B175033}"/>
    <cellStyle name="Normal 2 4 2 3 2 2 6 2 3" xfId="12699" xr:uid="{47A4D05A-533E-4D3A-AA3F-957B2B9C2DB4}"/>
    <cellStyle name="Normal 2 4 2 3 2 2 6 3" xfId="6330" xr:uid="{00000000-0005-0000-0000-0000BD0E0000}"/>
    <cellStyle name="Normal 2 4 2 3 2 2 6 3 2" xfId="14772" xr:uid="{B9B44749-D6EA-4C95-A748-EE7A6CA5F256}"/>
    <cellStyle name="Normal 2 4 2 3 2 2 6 4" xfId="10554" xr:uid="{76764D94-1E4F-4883-8392-F11361850386}"/>
    <cellStyle name="Normal 2 4 2 3 2 2 7" xfId="2459" xr:uid="{00000000-0005-0000-0000-0000BE0E0000}"/>
    <cellStyle name="Normal 2 4 2 3 2 2 7 2" xfId="6743" xr:uid="{00000000-0005-0000-0000-0000BF0E0000}"/>
    <cellStyle name="Normal 2 4 2 3 2 2 7 2 2" xfId="15185" xr:uid="{D0C41B82-6B80-49FB-9E84-721288CB1CDC}"/>
    <cellStyle name="Normal 2 4 2 3 2 2 7 3" xfId="10967" xr:uid="{5B2AED91-0206-4F33-8DCE-FD437F23F15F}"/>
    <cellStyle name="Normal 2 4 2 3 2 2 8" xfId="4677" xr:uid="{00000000-0005-0000-0000-0000C00E0000}"/>
    <cellStyle name="Normal 2 4 2 3 2 2 8 2" xfId="13119" xr:uid="{A878B582-ED80-4AA5-8C94-55B6C34530DE}"/>
    <cellStyle name="Normal 2 4 2 3 2 2 9" xfId="8901" xr:uid="{BF084137-55F3-43BA-AF0A-D3CBF898EFF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9BE1EF89-40B4-44AB-A683-BA38448B0295}"/>
    <cellStyle name="Normal 2 4 2 3 2 3 2 2 3" xfId="11462" xr:uid="{3DC2175B-94A8-42D3-8836-015C9CF954A3}"/>
    <cellStyle name="Normal 2 4 2 3 2 3 2 3" xfId="5093" xr:uid="{00000000-0005-0000-0000-0000C50E0000}"/>
    <cellStyle name="Normal 2 4 2 3 2 3 2 3 2" xfId="13535" xr:uid="{260E5459-694A-41B6-82B5-73FBC6C234A9}"/>
    <cellStyle name="Normal 2 4 2 3 2 3 2 4" xfId="9317" xr:uid="{7617752C-E605-4597-8440-FB6D8C62518A}"/>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3A71DB98-E047-45DC-888A-5728A6ECB484}"/>
    <cellStyle name="Normal 2 4 2 3 2 3 3 2 3" xfId="11875" xr:uid="{A97C3A49-1AEB-40E9-8861-236048E5ED38}"/>
    <cellStyle name="Normal 2 4 2 3 2 3 3 3" xfId="5506" xr:uid="{00000000-0005-0000-0000-0000C90E0000}"/>
    <cellStyle name="Normal 2 4 2 3 2 3 3 3 2" xfId="13948" xr:uid="{6724398A-A582-477C-92AA-FB44120E2FDF}"/>
    <cellStyle name="Normal 2 4 2 3 2 3 3 4" xfId="9730" xr:uid="{E16C8E74-30CA-4764-ADD4-C071BEC85158}"/>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AA64B506-D069-4F18-BB11-87BAF7A8372E}"/>
    <cellStyle name="Normal 2 4 2 3 2 3 4 2 3" xfId="12288" xr:uid="{9581D21C-A079-4996-BA67-9B15BEE598D1}"/>
    <cellStyle name="Normal 2 4 2 3 2 3 4 3" xfId="5919" xr:uid="{00000000-0005-0000-0000-0000CD0E0000}"/>
    <cellStyle name="Normal 2 4 2 3 2 3 4 3 2" xfId="14361" xr:uid="{53CA850C-93C0-4691-8CE4-032ED5F33E5C}"/>
    <cellStyle name="Normal 2 4 2 3 2 3 4 4" xfId="10143" xr:uid="{D92CD01E-AB01-44EE-935B-D3CCA114747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4502933D-24CC-4EDD-AAE0-DF53CC3558DE}"/>
    <cellStyle name="Normal 2 4 2 3 2 3 5 2 3" xfId="12701" xr:uid="{B386A7E2-CED2-483C-8E00-954E1C4F2715}"/>
    <cellStyle name="Normal 2 4 2 3 2 3 5 3" xfId="6332" xr:uid="{00000000-0005-0000-0000-0000D10E0000}"/>
    <cellStyle name="Normal 2 4 2 3 2 3 5 3 2" xfId="14774" xr:uid="{3AB78241-E269-49B7-BF82-DA0662BBCB5B}"/>
    <cellStyle name="Normal 2 4 2 3 2 3 5 4" xfId="10556" xr:uid="{ED35191E-EFB4-47C3-9E95-E51577E871B0}"/>
    <cellStyle name="Normal 2 4 2 3 2 3 6" xfId="2461" xr:uid="{00000000-0005-0000-0000-0000D20E0000}"/>
    <cellStyle name="Normal 2 4 2 3 2 3 6 2" xfId="6745" xr:uid="{00000000-0005-0000-0000-0000D30E0000}"/>
    <cellStyle name="Normal 2 4 2 3 2 3 6 2 2" xfId="15187" xr:uid="{81913986-D4A3-400F-B32E-7B8CF03B04C8}"/>
    <cellStyle name="Normal 2 4 2 3 2 3 6 3" xfId="10969" xr:uid="{C487558E-3790-4E86-8F8B-605065E8B893}"/>
    <cellStyle name="Normal 2 4 2 3 2 3 7" xfId="4679" xr:uid="{00000000-0005-0000-0000-0000D40E0000}"/>
    <cellStyle name="Normal 2 4 2 3 2 3 7 2" xfId="13121" xr:uid="{4A91576B-B3FC-48A0-899E-2E9D07DF5647}"/>
    <cellStyle name="Normal 2 4 2 3 2 3 8" xfId="8903" xr:uid="{1F3D8110-5760-41C6-858D-C690565B49D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1FDE590B-B2C7-4B57-97F3-DFAC84E3B131}"/>
    <cellStyle name="Normal 2 4 2 3 2 4 2 3" xfId="11459" xr:uid="{9EBBAFF0-E188-4FAB-89F4-B895E903257A}"/>
    <cellStyle name="Normal 2 4 2 3 2 4 3" xfId="5090" xr:uid="{00000000-0005-0000-0000-0000D80E0000}"/>
    <cellStyle name="Normal 2 4 2 3 2 4 3 2" xfId="13532" xr:uid="{B4E75CA7-F268-45B2-ADD4-AD11A6E4D133}"/>
    <cellStyle name="Normal 2 4 2 3 2 4 4" xfId="9314" xr:uid="{BE1BB47C-5A17-4A25-805C-2B22631A2A18}"/>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B959246A-E68E-4F70-8010-86940C709A76}"/>
    <cellStyle name="Normal 2 4 2 3 2 5 2 3" xfId="11872" xr:uid="{11EA1AFA-976E-4AC1-ABC9-4E98F52B6A52}"/>
    <cellStyle name="Normal 2 4 2 3 2 5 3" xfId="5503" xr:uid="{00000000-0005-0000-0000-0000DC0E0000}"/>
    <cellStyle name="Normal 2 4 2 3 2 5 3 2" xfId="13945" xr:uid="{D66530BF-FDAA-4092-8506-470907D89AB9}"/>
    <cellStyle name="Normal 2 4 2 3 2 5 4" xfId="9727" xr:uid="{9E31D730-D6B2-4FDA-82D4-2173BBE27EAB}"/>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E356612E-1A1B-4821-B0A8-3043BB17D94C}"/>
    <cellStyle name="Normal 2 4 2 3 2 6 2 3" xfId="12285" xr:uid="{4BF7C52E-4CC9-4877-B2EF-A6BB8711B8D4}"/>
    <cellStyle name="Normal 2 4 2 3 2 6 3" xfId="5916" xr:uid="{00000000-0005-0000-0000-0000E00E0000}"/>
    <cellStyle name="Normal 2 4 2 3 2 6 3 2" xfId="14358" xr:uid="{12F1DEAC-D660-4074-9740-08353197E009}"/>
    <cellStyle name="Normal 2 4 2 3 2 6 4" xfId="10140" xr:uid="{C572ECB8-5FCE-415B-8F1F-6EB5FD0C3ADF}"/>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9B1A7B96-36C7-4B81-92F5-FCC5ABAB3DA4}"/>
    <cellStyle name="Normal 2 4 2 3 2 7 2 3" xfId="12698" xr:uid="{84EDC580-F12D-4573-8990-A7A1CCDDED25}"/>
    <cellStyle name="Normal 2 4 2 3 2 7 3" xfId="6329" xr:uid="{00000000-0005-0000-0000-0000E40E0000}"/>
    <cellStyle name="Normal 2 4 2 3 2 7 3 2" xfId="14771" xr:uid="{5905439D-C04E-4B83-B258-AE816D7715C0}"/>
    <cellStyle name="Normal 2 4 2 3 2 7 4" xfId="10553" xr:uid="{797922D9-1DBA-4E60-AE0D-90CD436129CE}"/>
    <cellStyle name="Normal 2 4 2 3 2 8" xfId="2458" xr:uid="{00000000-0005-0000-0000-0000E50E0000}"/>
    <cellStyle name="Normal 2 4 2 3 2 8 2" xfId="6742" xr:uid="{00000000-0005-0000-0000-0000E60E0000}"/>
    <cellStyle name="Normal 2 4 2 3 2 8 2 2" xfId="15184" xr:uid="{D3AEA59D-38EA-4B90-9D72-79794AEB4B95}"/>
    <cellStyle name="Normal 2 4 2 3 2 8 3" xfId="10966" xr:uid="{14F597F9-AD8E-4DE3-8BB5-FA4A00817EEF}"/>
    <cellStyle name="Normal 2 4 2 3 2 9" xfId="4676" xr:uid="{00000000-0005-0000-0000-0000E70E0000}"/>
    <cellStyle name="Normal 2 4 2 3 2 9 2" xfId="13118" xr:uid="{22CF0824-295C-44E7-9243-3875B14D447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3023F417-B24A-42F1-9F62-98540DB6C311}"/>
    <cellStyle name="Normal 2 4 2 3 3 2 2 2 3" xfId="11464" xr:uid="{71C67B16-C312-40C8-A890-410428D93FE6}"/>
    <cellStyle name="Normal 2 4 2 3 3 2 2 3" xfId="5095" xr:uid="{00000000-0005-0000-0000-0000ED0E0000}"/>
    <cellStyle name="Normal 2 4 2 3 3 2 2 3 2" xfId="13537" xr:uid="{8487547B-5EBC-437F-952C-28E06845B248}"/>
    <cellStyle name="Normal 2 4 2 3 3 2 2 4" xfId="9319" xr:uid="{A9D434C8-5913-46B1-A92E-31356747C09D}"/>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3F766692-7E96-45AC-82D4-72600CAD60F2}"/>
    <cellStyle name="Normal 2 4 2 3 3 2 3 2 3" xfId="11877" xr:uid="{8A553A7C-A0EA-4553-9F7E-E82822F8145D}"/>
    <cellStyle name="Normal 2 4 2 3 3 2 3 3" xfId="5508" xr:uid="{00000000-0005-0000-0000-0000F10E0000}"/>
    <cellStyle name="Normal 2 4 2 3 3 2 3 3 2" xfId="13950" xr:uid="{B96FF324-9EAF-4451-A5A6-F6AE3987BC51}"/>
    <cellStyle name="Normal 2 4 2 3 3 2 3 4" xfId="9732" xr:uid="{6EDCE316-9C8E-4AF5-8B8B-5D012DE65DB3}"/>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4A914287-9E89-41E4-9366-D71531E8BE92}"/>
    <cellStyle name="Normal 2 4 2 3 3 2 4 2 3" xfId="12290" xr:uid="{52A70405-7E68-47EB-A2DA-1FFB42AB1B2B}"/>
    <cellStyle name="Normal 2 4 2 3 3 2 4 3" xfId="5921" xr:uid="{00000000-0005-0000-0000-0000F50E0000}"/>
    <cellStyle name="Normal 2 4 2 3 3 2 4 3 2" xfId="14363" xr:uid="{583F4EE7-807A-44C9-9334-0D1C9ED9E85A}"/>
    <cellStyle name="Normal 2 4 2 3 3 2 4 4" xfId="10145" xr:uid="{BF08315D-A4D1-408C-8719-9F46CE16932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7FE0299A-A98F-444A-A767-24E0DDEF22D9}"/>
    <cellStyle name="Normal 2 4 2 3 3 2 5 2 3" xfId="12703" xr:uid="{4CEB798A-0EDD-4CBF-BF83-52BA3075487F}"/>
    <cellStyle name="Normal 2 4 2 3 3 2 5 3" xfId="6334" xr:uid="{00000000-0005-0000-0000-0000F90E0000}"/>
    <cellStyle name="Normal 2 4 2 3 3 2 5 3 2" xfId="14776" xr:uid="{7F0B7677-2358-432E-A44F-826DE78F39D9}"/>
    <cellStyle name="Normal 2 4 2 3 3 2 5 4" xfId="10558" xr:uid="{7D83AAD7-7BF4-4592-9D00-F6E5D976788E}"/>
    <cellStyle name="Normal 2 4 2 3 3 2 6" xfId="2463" xr:uid="{00000000-0005-0000-0000-0000FA0E0000}"/>
    <cellStyle name="Normal 2 4 2 3 3 2 6 2" xfId="6747" xr:uid="{00000000-0005-0000-0000-0000FB0E0000}"/>
    <cellStyle name="Normal 2 4 2 3 3 2 6 2 2" xfId="15189" xr:uid="{5B9F66FB-7C0E-4765-A68B-11C049FCCF83}"/>
    <cellStyle name="Normal 2 4 2 3 3 2 6 3" xfId="10971" xr:uid="{B8CAE187-9DE3-4036-B023-FF2FACB06071}"/>
    <cellStyle name="Normal 2 4 2 3 3 2 7" xfId="4681" xr:uid="{00000000-0005-0000-0000-0000FC0E0000}"/>
    <cellStyle name="Normal 2 4 2 3 3 2 7 2" xfId="13123" xr:uid="{904737A8-9577-4E32-B70C-F84BDC248BD3}"/>
    <cellStyle name="Normal 2 4 2 3 3 2 8" xfId="8905" xr:uid="{36E653C1-F6B8-433D-AF1F-DF1AA0CAC64D}"/>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E82C5E91-650B-4BCB-8CEE-8C3798616819}"/>
    <cellStyle name="Normal 2 4 2 3 3 3 2 3" xfId="11463" xr:uid="{6301D473-58FA-4577-8E26-D055903D52E6}"/>
    <cellStyle name="Normal 2 4 2 3 3 3 3" xfId="5094" xr:uid="{00000000-0005-0000-0000-0000000F0000}"/>
    <cellStyle name="Normal 2 4 2 3 3 3 3 2" xfId="13536" xr:uid="{D6999885-E3AF-4746-BD7D-90D29FFC4D2E}"/>
    <cellStyle name="Normal 2 4 2 3 3 3 4" xfId="9318" xr:uid="{FBABE28A-07B6-4442-86EE-05DEBB3E56A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5216D837-150E-4B6C-BB8D-AABA80D496F8}"/>
    <cellStyle name="Normal 2 4 2 3 3 4 2 3" xfId="11876" xr:uid="{AA04E229-FB46-4FC8-9A7B-D65FF1F2189D}"/>
    <cellStyle name="Normal 2 4 2 3 3 4 3" xfId="5507" xr:uid="{00000000-0005-0000-0000-0000040F0000}"/>
    <cellStyle name="Normal 2 4 2 3 3 4 3 2" xfId="13949" xr:uid="{FCC55B0C-0605-4F58-8765-56DCA0B7598A}"/>
    <cellStyle name="Normal 2 4 2 3 3 4 4" xfId="9731" xr:uid="{19FF2BC6-4609-4112-96C1-B0A2F085AC7F}"/>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DE788D2C-FC96-4860-A303-83D77E856E9B}"/>
    <cellStyle name="Normal 2 4 2 3 3 5 2 3" xfId="12289" xr:uid="{02B716E9-BDFC-41ED-9EB8-D9267385F6EB}"/>
    <cellStyle name="Normal 2 4 2 3 3 5 3" xfId="5920" xr:uid="{00000000-0005-0000-0000-0000080F0000}"/>
    <cellStyle name="Normal 2 4 2 3 3 5 3 2" xfId="14362" xr:uid="{6F016F4F-49F3-4794-BD37-2B8D6F153974}"/>
    <cellStyle name="Normal 2 4 2 3 3 5 4" xfId="10144" xr:uid="{B5A0ABB3-A997-438E-9B17-41398A133F2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6D9ECCDC-34BD-4726-9714-02A887154EF1}"/>
    <cellStyle name="Normal 2 4 2 3 3 6 2 3" xfId="12702" xr:uid="{48BE8B0D-2183-425A-82AE-E35E41D48B61}"/>
    <cellStyle name="Normal 2 4 2 3 3 6 3" xfId="6333" xr:uid="{00000000-0005-0000-0000-00000C0F0000}"/>
    <cellStyle name="Normal 2 4 2 3 3 6 3 2" xfId="14775" xr:uid="{3FF08471-D78C-4304-BA40-158D3A399F1D}"/>
    <cellStyle name="Normal 2 4 2 3 3 6 4" xfId="10557" xr:uid="{E12DA568-F177-486E-9E03-8ADCA420A6C0}"/>
    <cellStyle name="Normal 2 4 2 3 3 7" xfId="2462" xr:uid="{00000000-0005-0000-0000-00000D0F0000}"/>
    <cellStyle name="Normal 2 4 2 3 3 7 2" xfId="6746" xr:uid="{00000000-0005-0000-0000-00000E0F0000}"/>
    <cellStyle name="Normal 2 4 2 3 3 7 2 2" xfId="15188" xr:uid="{43864428-FCC2-4AF4-96BB-5FFF686C3C3C}"/>
    <cellStyle name="Normal 2 4 2 3 3 7 3" xfId="10970" xr:uid="{28B86A19-A7F5-4BE2-A81D-E7D7EA75C439}"/>
    <cellStyle name="Normal 2 4 2 3 3 8" xfId="4680" xr:uid="{00000000-0005-0000-0000-00000F0F0000}"/>
    <cellStyle name="Normal 2 4 2 3 3 8 2" xfId="13122" xr:uid="{994E3E3C-3339-4881-BEBD-4D46AD7257D4}"/>
    <cellStyle name="Normal 2 4 2 3 3 9" xfId="8904" xr:uid="{B3A5178E-4EEF-4240-87CD-818A32A1518E}"/>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714616A4-925E-4EAD-8874-5BF4A97B067E}"/>
    <cellStyle name="Normal 2 4 2 3 4 2 2 3" xfId="11465" xr:uid="{DB650A7B-F669-4233-A42B-E09F852C5E3F}"/>
    <cellStyle name="Normal 2 4 2 3 4 2 3" xfId="5096" xr:uid="{00000000-0005-0000-0000-0000140F0000}"/>
    <cellStyle name="Normal 2 4 2 3 4 2 3 2" xfId="13538" xr:uid="{C647BA05-CA9C-420B-84D7-F0533CAEA6C1}"/>
    <cellStyle name="Normal 2 4 2 3 4 2 4" xfId="9320" xr:uid="{975AD475-5A0B-48C3-A7BA-49F778CEECA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57AA8784-5445-47B9-999D-387D832CB728}"/>
    <cellStyle name="Normal 2 4 2 3 4 3 2 3" xfId="11878" xr:uid="{4B00A330-8769-43F1-A776-5A68488DA809}"/>
    <cellStyle name="Normal 2 4 2 3 4 3 3" xfId="5509" xr:uid="{00000000-0005-0000-0000-0000180F0000}"/>
    <cellStyle name="Normal 2 4 2 3 4 3 3 2" xfId="13951" xr:uid="{EC108953-2CF0-4200-96C7-7BFC946EAAA7}"/>
    <cellStyle name="Normal 2 4 2 3 4 3 4" xfId="9733" xr:uid="{698EB40F-3C41-49FF-9A98-2BF690C19963}"/>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A454C755-6E76-4C91-96C6-5E75D96AF5C1}"/>
    <cellStyle name="Normal 2 4 2 3 4 4 2 3" xfId="12291" xr:uid="{C2A69E6B-9039-4897-8F36-DF66261C79CA}"/>
    <cellStyle name="Normal 2 4 2 3 4 4 3" xfId="5922" xr:uid="{00000000-0005-0000-0000-00001C0F0000}"/>
    <cellStyle name="Normal 2 4 2 3 4 4 3 2" xfId="14364" xr:uid="{9979D46E-EC46-4A66-9A10-594812FDBDF9}"/>
    <cellStyle name="Normal 2 4 2 3 4 4 4" xfId="10146" xr:uid="{0E7DF2C2-0412-45AA-AE4E-33E42DFFB9D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AD63C8A7-6B22-432D-B1DF-870FD1776ED9}"/>
    <cellStyle name="Normal 2 4 2 3 4 5 2 3" xfId="12704" xr:uid="{127D3B80-5035-4DA9-B714-A3AD16A66A43}"/>
    <cellStyle name="Normal 2 4 2 3 4 5 3" xfId="6335" xr:uid="{00000000-0005-0000-0000-0000200F0000}"/>
    <cellStyle name="Normal 2 4 2 3 4 5 3 2" xfId="14777" xr:uid="{2110656E-3C61-4A25-B82C-A48D5503774B}"/>
    <cellStyle name="Normal 2 4 2 3 4 5 4" xfId="10559" xr:uid="{FF5D39F9-FF40-4D5D-B973-5212E6937CAD}"/>
    <cellStyle name="Normal 2 4 2 3 4 6" xfId="2464" xr:uid="{00000000-0005-0000-0000-0000210F0000}"/>
    <cellStyle name="Normal 2 4 2 3 4 6 2" xfId="6748" xr:uid="{00000000-0005-0000-0000-0000220F0000}"/>
    <cellStyle name="Normal 2 4 2 3 4 6 2 2" xfId="15190" xr:uid="{B538B816-4EA1-4616-873A-CD8DECE0E0F8}"/>
    <cellStyle name="Normal 2 4 2 3 4 6 3" xfId="10972" xr:uid="{D1729814-C94D-471F-AFEB-A45424CFD117}"/>
    <cellStyle name="Normal 2 4 2 3 4 7" xfId="4682" xr:uid="{00000000-0005-0000-0000-0000230F0000}"/>
    <cellStyle name="Normal 2 4 2 3 4 7 2" xfId="13124" xr:uid="{4DBB3FBE-BAB5-4A2A-A907-37165149F580}"/>
    <cellStyle name="Normal 2 4 2 3 4 8" xfId="8906" xr:uid="{65FC27D5-06F2-46BA-926C-06E4B27D1431}"/>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1E19EC22-4526-4F0B-BF82-382F0854D45E}"/>
    <cellStyle name="Normal 2 4 2 3 5 2 3" xfId="11458" xr:uid="{8362B5CD-07B4-4B9D-9143-DCFBBD6322ED}"/>
    <cellStyle name="Normal 2 4 2 3 5 3" xfId="5089" xr:uid="{00000000-0005-0000-0000-0000270F0000}"/>
    <cellStyle name="Normal 2 4 2 3 5 3 2" xfId="13531" xr:uid="{F2C882E0-BF70-419D-BE8E-74668FA2DC44}"/>
    <cellStyle name="Normal 2 4 2 3 5 4" xfId="9313" xr:uid="{FD88278F-C98E-46D9-A1E5-EA3DEA1485B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5046844A-13D3-4581-A0FB-5EDE27D76415}"/>
    <cellStyle name="Normal 2 4 2 3 6 2 3" xfId="11871" xr:uid="{311E80C3-66C7-4EBB-8B91-D7521658226A}"/>
    <cellStyle name="Normal 2 4 2 3 6 3" xfId="5502" xr:uid="{00000000-0005-0000-0000-00002B0F0000}"/>
    <cellStyle name="Normal 2 4 2 3 6 3 2" xfId="13944" xr:uid="{A71B0FBC-1707-4A44-81A6-8AB633154894}"/>
    <cellStyle name="Normal 2 4 2 3 6 4" xfId="9726" xr:uid="{B48AA176-9DC0-47AF-90FF-DB58AA47A29D}"/>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4EB74006-600D-42C9-AB3B-6EF71193BB1D}"/>
    <cellStyle name="Normal 2 4 2 3 7 2 3" xfId="12284" xr:uid="{32111141-7F2D-4DC0-847D-EBE852D02AC5}"/>
    <cellStyle name="Normal 2 4 2 3 7 3" xfId="5915" xr:uid="{00000000-0005-0000-0000-00002F0F0000}"/>
    <cellStyle name="Normal 2 4 2 3 7 3 2" xfId="14357" xr:uid="{7490EDE9-C937-480C-8ED0-9E31DFF2F138}"/>
    <cellStyle name="Normal 2 4 2 3 7 4" xfId="10139" xr:uid="{BB420CDA-F8A5-4E36-BFE1-9501CE09D1E2}"/>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9E37113C-8F1D-4212-8CBB-D935BA05585B}"/>
    <cellStyle name="Normal 2 4 2 3 8 2 3" xfId="12697" xr:uid="{6425DEDB-F9E0-420B-A247-E5D6040B9FBF}"/>
    <cellStyle name="Normal 2 4 2 3 8 3" xfId="6328" xr:uid="{00000000-0005-0000-0000-0000330F0000}"/>
    <cellStyle name="Normal 2 4 2 3 8 3 2" xfId="14770" xr:uid="{015A7F43-1B9E-4BC0-844A-5FF4759E3BC5}"/>
    <cellStyle name="Normal 2 4 2 3 8 4" xfId="10552" xr:uid="{4CF7A6C1-E723-45D8-BE17-CA1C0D871AE1}"/>
    <cellStyle name="Normal 2 4 2 3 9" xfId="2457" xr:uid="{00000000-0005-0000-0000-0000340F0000}"/>
    <cellStyle name="Normal 2 4 2 3 9 2" xfId="6741" xr:uid="{00000000-0005-0000-0000-0000350F0000}"/>
    <cellStyle name="Normal 2 4 2 3 9 2 2" xfId="15183" xr:uid="{D9406249-B9C4-4E34-A35C-D5B3C78BE3CD}"/>
    <cellStyle name="Normal 2 4 2 3 9 3" xfId="10965" xr:uid="{C35ABD65-8B50-4544-8DA2-D74CB12FAB7E}"/>
    <cellStyle name="Normal 2 4 2 4" xfId="289" xr:uid="{00000000-0005-0000-0000-0000360F0000}"/>
    <cellStyle name="Normal 2 4 2 4 10" xfId="8907" xr:uid="{07F4B280-8A79-4F71-961D-791C913B0968}"/>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59E37151-36BB-4537-8BA3-C8FB4955DD34}"/>
    <cellStyle name="Normal 2 4 2 4 2 2 2 2 3" xfId="11468" xr:uid="{3E9C5F3C-6162-4603-BE06-6C9EE0C253AE}"/>
    <cellStyle name="Normal 2 4 2 4 2 2 2 3" xfId="5099" xr:uid="{00000000-0005-0000-0000-00003C0F0000}"/>
    <cellStyle name="Normal 2 4 2 4 2 2 2 3 2" xfId="13541" xr:uid="{D18A28E7-8270-4177-8040-D313226510C1}"/>
    <cellStyle name="Normal 2 4 2 4 2 2 2 4" xfId="9323" xr:uid="{934E4E4D-6C50-4C50-8608-C8692B8A5E6A}"/>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B440933E-96AD-4142-A6A7-3E6CA38F68E5}"/>
    <cellStyle name="Normal 2 4 2 4 2 2 3 2 3" xfId="11881" xr:uid="{75032CD6-F993-4B53-B65D-7FA6E80F9351}"/>
    <cellStyle name="Normal 2 4 2 4 2 2 3 3" xfId="5512" xr:uid="{00000000-0005-0000-0000-0000400F0000}"/>
    <cellStyle name="Normal 2 4 2 4 2 2 3 3 2" xfId="13954" xr:uid="{B81117FF-0867-46D5-B6F8-F58E8ED66A35}"/>
    <cellStyle name="Normal 2 4 2 4 2 2 3 4" xfId="9736" xr:uid="{842CD7C2-88E1-43BF-9B32-60D80617F912}"/>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ED0E6155-8124-4284-B5EB-E4645B2DF380}"/>
    <cellStyle name="Normal 2 4 2 4 2 2 4 2 3" xfId="12294" xr:uid="{14D83C0F-6B9B-485F-BC9C-850B7B7CCBD5}"/>
    <cellStyle name="Normal 2 4 2 4 2 2 4 3" xfId="5925" xr:uid="{00000000-0005-0000-0000-0000440F0000}"/>
    <cellStyle name="Normal 2 4 2 4 2 2 4 3 2" xfId="14367" xr:uid="{A4D0A96C-A516-4884-A96D-B09A8DEEBC36}"/>
    <cellStyle name="Normal 2 4 2 4 2 2 4 4" xfId="10149" xr:uid="{60721165-4E3E-4B92-B873-11AE7499181E}"/>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0481FE84-5249-4ADD-A727-96AA80F5F206}"/>
    <cellStyle name="Normal 2 4 2 4 2 2 5 2 3" xfId="12707" xr:uid="{7F075006-82D6-4482-9A91-7EF8ACFD006B}"/>
    <cellStyle name="Normal 2 4 2 4 2 2 5 3" xfId="6338" xr:uid="{00000000-0005-0000-0000-0000480F0000}"/>
    <cellStyle name="Normal 2 4 2 4 2 2 5 3 2" xfId="14780" xr:uid="{354F7EC4-315F-4819-9629-7FF9E46A60D6}"/>
    <cellStyle name="Normal 2 4 2 4 2 2 5 4" xfId="10562" xr:uid="{77F23B9F-A8C2-43F6-BE0B-1D337C6E1906}"/>
    <cellStyle name="Normal 2 4 2 4 2 2 6" xfId="2467" xr:uid="{00000000-0005-0000-0000-0000490F0000}"/>
    <cellStyle name="Normal 2 4 2 4 2 2 6 2" xfId="6751" xr:uid="{00000000-0005-0000-0000-00004A0F0000}"/>
    <cellStyle name="Normal 2 4 2 4 2 2 6 2 2" xfId="15193" xr:uid="{1B00CBDC-BC20-4E0E-8718-72424BDCF03A}"/>
    <cellStyle name="Normal 2 4 2 4 2 2 6 3" xfId="10975" xr:uid="{57E8CF09-5310-4118-91D8-A6C18588EAA9}"/>
    <cellStyle name="Normal 2 4 2 4 2 2 7" xfId="4685" xr:uid="{00000000-0005-0000-0000-00004B0F0000}"/>
    <cellStyle name="Normal 2 4 2 4 2 2 7 2" xfId="13127" xr:uid="{1D33B59B-E662-4F67-9536-16E6A794FC67}"/>
    <cellStyle name="Normal 2 4 2 4 2 2 8" xfId="8909" xr:uid="{297EFABA-5CF2-4700-8BB0-1B43896B27F7}"/>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4F2FDDEE-A780-41D4-BD5E-2C50BE589750}"/>
    <cellStyle name="Normal 2 4 2 4 2 3 2 3" xfId="11467" xr:uid="{9F8E6302-FC19-4CFE-8269-15475009F04B}"/>
    <cellStyle name="Normal 2 4 2 4 2 3 3" xfId="5098" xr:uid="{00000000-0005-0000-0000-00004F0F0000}"/>
    <cellStyle name="Normal 2 4 2 4 2 3 3 2" xfId="13540" xr:uid="{903C199A-53AD-432A-9C0B-64E43682841A}"/>
    <cellStyle name="Normal 2 4 2 4 2 3 4" xfId="9322" xr:uid="{F1FF0D42-8535-4AC7-A227-5AEC5C89C6BD}"/>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72D26A33-FCD2-47FC-83E3-B66EE6E4AAB4}"/>
    <cellStyle name="Normal 2 4 2 4 2 4 2 3" xfId="11880" xr:uid="{18F39A24-2A80-4E9B-806B-A54E8198812B}"/>
    <cellStyle name="Normal 2 4 2 4 2 4 3" xfId="5511" xr:uid="{00000000-0005-0000-0000-0000530F0000}"/>
    <cellStyle name="Normal 2 4 2 4 2 4 3 2" xfId="13953" xr:uid="{9C1D4FEE-422B-4032-9C5F-D228120A558E}"/>
    <cellStyle name="Normal 2 4 2 4 2 4 4" xfId="9735" xr:uid="{776EF20A-D9DB-42B5-B3CA-07AB754532D9}"/>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599DD949-7700-40CB-8838-99CDC73C5AB1}"/>
    <cellStyle name="Normal 2 4 2 4 2 5 2 3" xfId="12293" xr:uid="{31923A54-6375-4622-AB1A-4D0CE5A8D95F}"/>
    <cellStyle name="Normal 2 4 2 4 2 5 3" xfId="5924" xr:uid="{00000000-0005-0000-0000-0000570F0000}"/>
    <cellStyle name="Normal 2 4 2 4 2 5 3 2" xfId="14366" xr:uid="{37C44B29-4A34-4CEB-A0DD-1AD623C1BBB7}"/>
    <cellStyle name="Normal 2 4 2 4 2 5 4" xfId="10148" xr:uid="{703446A3-12D5-4EDD-9D64-25AE0064CC86}"/>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21064A01-074A-45E2-813B-7086213580E0}"/>
    <cellStyle name="Normal 2 4 2 4 2 6 2 3" xfId="12706" xr:uid="{EDE48E30-17E5-41DC-9B4F-5680DB33640A}"/>
    <cellStyle name="Normal 2 4 2 4 2 6 3" xfId="6337" xr:uid="{00000000-0005-0000-0000-00005B0F0000}"/>
    <cellStyle name="Normal 2 4 2 4 2 6 3 2" xfId="14779" xr:uid="{F352F885-8409-408D-BE9C-2BF9FED19AF8}"/>
    <cellStyle name="Normal 2 4 2 4 2 6 4" xfId="10561" xr:uid="{D0790410-2F3A-4794-97B2-E3E78ACACB24}"/>
    <cellStyle name="Normal 2 4 2 4 2 7" xfId="2466" xr:uid="{00000000-0005-0000-0000-00005C0F0000}"/>
    <cellStyle name="Normal 2 4 2 4 2 7 2" xfId="6750" xr:uid="{00000000-0005-0000-0000-00005D0F0000}"/>
    <cellStyle name="Normal 2 4 2 4 2 7 2 2" xfId="15192" xr:uid="{904EE6A2-9B51-4E9D-BA64-236D7CD1C7D8}"/>
    <cellStyle name="Normal 2 4 2 4 2 7 3" xfId="10974" xr:uid="{FDBCF624-A500-4081-BEEB-776CFDFB6685}"/>
    <cellStyle name="Normal 2 4 2 4 2 8" xfId="4684" xr:uid="{00000000-0005-0000-0000-00005E0F0000}"/>
    <cellStyle name="Normal 2 4 2 4 2 8 2" xfId="13126" xr:uid="{24568CC3-B9E0-4B9A-8417-6BE3070AADFA}"/>
    <cellStyle name="Normal 2 4 2 4 2 9" xfId="8908" xr:uid="{3726168C-1E97-40C9-91AA-A64DAE83AC9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AEEBDBC4-081C-47FE-9E5B-3C478E6E561C}"/>
    <cellStyle name="Normal 2 4 2 4 3 2 2 3" xfId="11469" xr:uid="{CE019C86-2FBC-4806-BC3C-3EEC9BB4D270}"/>
    <cellStyle name="Normal 2 4 2 4 3 2 3" xfId="5100" xr:uid="{00000000-0005-0000-0000-0000630F0000}"/>
    <cellStyle name="Normal 2 4 2 4 3 2 3 2" xfId="13542" xr:uid="{CFDA5814-B15A-46BF-9C7C-BA1D5F00405B}"/>
    <cellStyle name="Normal 2 4 2 4 3 2 4" xfId="9324" xr:uid="{46FA5E09-FB7F-4F40-B73E-45CAC4D57AA2}"/>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032061DC-E089-4110-A342-1E8BB2D22421}"/>
    <cellStyle name="Normal 2 4 2 4 3 3 2 3" xfId="11882" xr:uid="{48485793-9129-4542-8DE4-0FAFFADA58B0}"/>
    <cellStyle name="Normal 2 4 2 4 3 3 3" xfId="5513" xr:uid="{00000000-0005-0000-0000-0000670F0000}"/>
    <cellStyle name="Normal 2 4 2 4 3 3 3 2" xfId="13955" xr:uid="{151D2741-40BD-4D87-B952-73FD51385F30}"/>
    <cellStyle name="Normal 2 4 2 4 3 3 4" xfId="9737" xr:uid="{6E56A5CA-AE08-4ACD-AADD-3485188F6DC3}"/>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49D282D3-83E9-45ED-9813-D4A190B8F568}"/>
    <cellStyle name="Normal 2 4 2 4 3 4 2 3" xfId="12295" xr:uid="{59E298BC-2753-481F-A7F9-5F4C7C03EDFB}"/>
    <cellStyle name="Normal 2 4 2 4 3 4 3" xfId="5926" xr:uid="{00000000-0005-0000-0000-00006B0F0000}"/>
    <cellStyle name="Normal 2 4 2 4 3 4 3 2" xfId="14368" xr:uid="{4ED0B7EF-6B72-456F-BD0C-A881F4934123}"/>
    <cellStyle name="Normal 2 4 2 4 3 4 4" xfId="10150" xr:uid="{9F4D0640-76DF-4DF6-BDA1-2BA0005A525C}"/>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FA731882-1909-425A-B768-75AD14FF03A3}"/>
    <cellStyle name="Normal 2 4 2 4 3 5 2 3" xfId="12708" xr:uid="{D9C80E3F-EE8D-4E87-8591-D5D7C01B1C4F}"/>
    <cellStyle name="Normal 2 4 2 4 3 5 3" xfId="6339" xr:uid="{00000000-0005-0000-0000-00006F0F0000}"/>
    <cellStyle name="Normal 2 4 2 4 3 5 3 2" xfId="14781" xr:uid="{6656401F-415A-44B9-97B9-40AEF280AABC}"/>
    <cellStyle name="Normal 2 4 2 4 3 5 4" xfId="10563" xr:uid="{10A802DE-2AAF-419F-A888-CBEDF01A2A1E}"/>
    <cellStyle name="Normal 2 4 2 4 3 6" xfId="2468" xr:uid="{00000000-0005-0000-0000-0000700F0000}"/>
    <cellStyle name="Normal 2 4 2 4 3 6 2" xfId="6752" xr:uid="{00000000-0005-0000-0000-0000710F0000}"/>
    <cellStyle name="Normal 2 4 2 4 3 6 2 2" xfId="15194" xr:uid="{B805B0D4-782C-4801-A14C-20E22626D313}"/>
    <cellStyle name="Normal 2 4 2 4 3 6 3" xfId="10976" xr:uid="{116EF145-8004-43F7-97E2-17D605257DD2}"/>
    <cellStyle name="Normal 2 4 2 4 3 7" xfId="4686" xr:uid="{00000000-0005-0000-0000-0000720F0000}"/>
    <cellStyle name="Normal 2 4 2 4 3 7 2" xfId="13128" xr:uid="{D3FF9027-A9D8-4A03-9BDB-1337E5E6E57C}"/>
    <cellStyle name="Normal 2 4 2 4 3 8" xfId="8910" xr:uid="{0D7EDD1D-5772-40A1-9057-2FFBD918F37D}"/>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4CBF5BFA-B69C-4A27-A5D1-0B029067E415}"/>
    <cellStyle name="Normal 2 4 2 4 4 2 3" xfId="11466" xr:uid="{A000CD33-1C22-499E-BA0B-F742775674D9}"/>
    <cellStyle name="Normal 2 4 2 4 4 3" xfId="5097" xr:uid="{00000000-0005-0000-0000-0000760F0000}"/>
    <cellStyle name="Normal 2 4 2 4 4 3 2" xfId="13539" xr:uid="{FF3E4904-246F-4723-B3A2-25A2884839C3}"/>
    <cellStyle name="Normal 2 4 2 4 4 4" xfId="9321" xr:uid="{07144C73-9698-4B07-9074-AE959CD1C30D}"/>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11D1FBE9-A1A8-40DF-BE9A-259969B21CD4}"/>
    <cellStyle name="Normal 2 4 2 4 5 2 3" xfId="11879" xr:uid="{73D976B4-C60B-4700-84DA-C60C8B4201D3}"/>
    <cellStyle name="Normal 2 4 2 4 5 3" xfId="5510" xr:uid="{00000000-0005-0000-0000-00007A0F0000}"/>
    <cellStyle name="Normal 2 4 2 4 5 3 2" xfId="13952" xr:uid="{D1D9FB7B-70F8-4FB1-B4F8-0442912FF31A}"/>
    <cellStyle name="Normal 2 4 2 4 5 4" xfId="9734" xr:uid="{3481B8A1-F944-412B-83C9-5B1736CF574F}"/>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F48BB718-9262-427C-A4F0-F60B2039E729}"/>
    <cellStyle name="Normal 2 4 2 4 6 2 3" xfId="12292" xr:uid="{F6EB294A-0819-46FA-91D7-B82684C64C3E}"/>
    <cellStyle name="Normal 2 4 2 4 6 3" xfId="5923" xr:uid="{00000000-0005-0000-0000-00007E0F0000}"/>
    <cellStyle name="Normal 2 4 2 4 6 3 2" xfId="14365" xr:uid="{45D50061-2180-4C0C-BC12-67CDA45D89E6}"/>
    <cellStyle name="Normal 2 4 2 4 6 4" xfId="10147" xr:uid="{3FF89795-95C4-43EE-A9A8-E58E6B0D38FC}"/>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B10ECC1A-C5B6-44D1-B03F-74E331AC41EC}"/>
    <cellStyle name="Normal 2 4 2 4 7 2 3" xfId="12705" xr:uid="{D0BDD3E3-1744-48E4-A75A-E3A2DE3813B3}"/>
    <cellStyle name="Normal 2 4 2 4 7 3" xfId="6336" xr:uid="{00000000-0005-0000-0000-0000820F0000}"/>
    <cellStyle name="Normal 2 4 2 4 7 3 2" xfId="14778" xr:uid="{AE45C528-3DDD-4C31-8B5B-2B806A55BB21}"/>
    <cellStyle name="Normal 2 4 2 4 7 4" xfId="10560" xr:uid="{1547DE39-24E4-4BE1-9B29-70B5D0B488DF}"/>
    <cellStyle name="Normal 2 4 2 4 8" xfId="2465" xr:uid="{00000000-0005-0000-0000-0000830F0000}"/>
    <cellStyle name="Normal 2 4 2 4 8 2" xfId="6749" xr:uid="{00000000-0005-0000-0000-0000840F0000}"/>
    <cellStyle name="Normal 2 4 2 4 8 2 2" xfId="15191" xr:uid="{DAB635A6-44D4-4F77-99BA-886800FEF139}"/>
    <cellStyle name="Normal 2 4 2 4 8 3" xfId="10973" xr:uid="{8BC16A59-3310-44F1-85F2-9A64D5662200}"/>
    <cellStyle name="Normal 2 4 2 4 9" xfId="4683" xr:uid="{00000000-0005-0000-0000-0000850F0000}"/>
    <cellStyle name="Normal 2 4 2 4 9 2" xfId="13125" xr:uid="{72F05C1C-3A49-47BD-BAD7-0F7B02B75C3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25F808FB-81F9-4C41-996D-14E8B354EC00}"/>
    <cellStyle name="Normal 2 4 2 5 2 2 2 3" xfId="11471" xr:uid="{2809E69E-CF27-4CD8-862D-9F1300F8944E}"/>
    <cellStyle name="Normal 2 4 2 5 2 2 3" xfId="5102" xr:uid="{00000000-0005-0000-0000-00008B0F0000}"/>
    <cellStyle name="Normal 2 4 2 5 2 2 3 2" xfId="13544" xr:uid="{F30BC02C-6C87-4920-8930-B0A1219BF6DA}"/>
    <cellStyle name="Normal 2 4 2 5 2 2 4" xfId="9326" xr:uid="{1A046852-6BA2-40AB-9182-4090CEB2642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4CEADA2E-D9ED-4A37-B62C-A3A6A63C20C9}"/>
    <cellStyle name="Normal 2 4 2 5 2 3 2 3" xfId="11884" xr:uid="{326CEE03-20A9-490D-9D8B-24DE138B5EDF}"/>
    <cellStyle name="Normal 2 4 2 5 2 3 3" xfId="5515" xr:uid="{00000000-0005-0000-0000-00008F0F0000}"/>
    <cellStyle name="Normal 2 4 2 5 2 3 3 2" xfId="13957" xr:uid="{248119D0-5FC8-4A70-800F-4DFD6950860C}"/>
    <cellStyle name="Normal 2 4 2 5 2 3 4" xfId="9739" xr:uid="{F781BD62-C7AD-4602-B5D4-642BD6E5B0A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747512C6-6ED4-4B89-B69B-C27EB9C437BF}"/>
    <cellStyle name="Normal 2 4 2 5 2 4 2 3" xfId="12297" xr:uid="{B7898D85-67D9-45BD-BA99-6262FE2E06C1}"/>
    <cellStyle name="Normal 2 4 2 5 2 4 3" xfId="5928" xr:uid="{00000000-0005-0000-0000-0000930F0000}"/>
    <cellStyle name="Normal 2 4 2 5 2 4 3 2" xfId="14370" xr:uid="{E4E16BBF-A0A2-4C0C-AB74-8B868D90314F}"/>
    <cellStyle name="Normal 2 4 2 5 2 4 4" xfId="10152" xr:uid="{D47025CD-3321-4792-B0A0-CA14295E88B2}"/>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67FF08D1-36F5-4F42-BD9B-A5D0FA8AF2A3}"/>
    <cellStyle name="Normal 2 4 2 5 2 5 2 3" xfId="12710" xr:uid="{AB51828B-D1E5-4C26-BD69-2FF6DCDA44F7}"/>
    <cellStyle name="Normal 2 4 2 5 2 5 3" xfId="6341" xr:uid="{00000000-0005-0000-0000-0000970F0000}"/>
    <cellStyle name="Normal 2 4 2 5 2 5 3 2" xfId="14783" xr:uid="{0B42FF80-D88F-40DB-85CD-937D44F53F14}"/>
    <cellStyle name="Normal 2 4 2 5 2 5 4" xfId="10565" xr:uid="{96A84D70-16CC-4EE2-913E-C43AD484CF92}"/>
    <cellStyle name="Normal 2 4 2 5 2 6" xfId="2470" xr:uid="{00000000-0005-0000-0000-0000980F0000}"/>
    <cellStyle name="Normal 2 4 2 5 2 6 2" xfId="6754" xr:uid="{00000000-0005-0000-0000-0000990F0000}"/>
    <cellStyle name="Normal 2 4 2 5 2 6 2 2" xfId="15196" xr:uid="{66CFB742-6A25-4DF6-BC5C-FE4A46ECE007}"/>
    <cellStyle name="Normal 2 4 2 5 2 6 3" xfId="10978" xr:uid="{BB632FC8-EF01-4972-935C-B7C56CD8421B}"/>
    <cellStyle name="Normal 2 4 2 5 2 7" xfId="4688" xr:uid="{00000000-0005-0000-0000-00009A0F0000}"/>
    <cellStyle name="Normal 2 4 2 5 2 7 2" xfId="13130" xr:uid="{210FF83C-957E-426C-A4EF-0E654F8EE6D8}"/>
    <cellStyle name="Normal 2 4 2 5 2 8" xfId="8912" xr:uid="{8A76DF8E-EB39-4781-BC3E-86745BA84CEB}"/>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29226D50-2A69-4CB2-90D2-5560EC66F7C7}"/>
    <cellStyle name="Normal 2 4 2 5 3 2 3" xfId="11470" xr:uid="{7D3EB548-E325-41C2-8D1D-9508B7E61E12}"/>
    <cellStyle name="Normal 2 4 2 5 3 3" xfId="5101" xr:uid="{00000000-0005-0000-0000-00009E0F0000}"/>
    <cellStyle name="Normal 2 4 2 5 3 3 2" xfId="13543" xr:uid="{F3F19179-8E47-49BC-8763-F80627C52929}"/>
    <cellStyle name="Normal 2 4 2 5 3 4" xfId="9325" xr:uid="{AA074E7A-9768-46FC-8F9F-C88D40CD6434}"/>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02EC7C57-6016-4638-9C61-E05150A09F72}"/>
    <cellStyle name="Normal 2 4 2 5 4 2 3" xfId="11883" xr:uid="{C7F3AC32-79FD-40B0-8C47-31FA2A5224AC}"/>
    <cellStyle name="Normal 2 4 2 5 4 3" xfId="5514" xr:uid="{00000000-0005-0000-0000-0000A20F0000}"/>
    <cellStyle name="Normal 2 4 2 5 4 3 2" xfId="13956" xr:uid="{FDE9E223-CA94-42C4-A7DE-942B5C80C132}"/>
    <cellStyle name="Normal 2 4 2 5 4 4" xfId="9738" xr:uid="{BC9E5715-37C2-41A9-B4E3-85EAA1065118}"/>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95D8DB06-E5CB-49A3-8564-8A8BF0638C23}"/>
    <cellStyle name="Normal 2 4 2 5 5 2 3" xfId="12296" xr:uid="{86BF0117-AFF0-44C7-B48B-DFECBAE1DDE9}"/>
    <cellStyle name="Normal 2 4 2 5 5 3" xfId="5927" xr:uid="{00000000-0005-0000-0000-0000A60F0000}"/>
    <cellStyle name="Normal 2 4 2 5 5 3 2" xfId="14369" xr:uid="{6DA73FE5-2D71-4D36-8C18-AE0C5D2AF886}"/>
    <cellStyle name="Normal 2 4 2 5 5 4" xfId="10151" xr:uid="{1A740AC5-20DE-4B88-A2AE-F3CB4474C0AB}"/>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3B959477-D006-4D12-9E65-1450AE431C8F}"/>
    <cellStyle name="Normal 2 4 2 5 6 2 3" xfId="12709" xr:uid="{1D8CAEEF-6A33-41B0-A7E4-5410AA6BC4AA}"/>
    <cellStyle name="Normal 2 4 2 5 6 3" xfId="6340" xr:uid="{00000000-0005-0000-0000-0000AA0F0000}"/>
    <cellStyle name="Normal 2 4 2 5 6 3 2" xfId="14782" xr:uid="{8B4872F0-9159-4CB1-89F1-6DCDF2AF606A}"/>
    <cellStyle name="Normal 2 4 2 5 6 4" xfId="10564" xr:uid="{01E760E7-98E0-4218-825C-D84282F9B3A0}"/>
    <cellStyle name="Normal 2 4 2 5 7" xfId="2469" xr:uid="{00000000-0005-0000-0000-0000AB0F0000}"/>
    <cellStyle name="Normal 2 4 2 5 7 2" xfId="6753" xr:uid="{00000000-0005-0000-0000-0000AC0F0000}"/>
    <cellStyle name="Normal 2 4 2 5 7 2 2" xfId="15195" xr:uid="{A2B65D14-57BB-4118-894D-DF143789E0E1}"/>
    <cellStyle name="Normal 2 4 2 5 7 3" xfId="10977" xr:uid="{C6F90F59-F2EE-4657-A7B4-6D86F629CEE9}"/>
    <cellStyle name="Normal 2 4 2 5 8" xfId="4687" xr:uid="{00000000-0005-0000-0000-0000AD0F0000}"/>
    <cellStyle name="Normal 2 4 2 5 8 2" xfId="13129" xr:uid="{F963130A-C314-49A6-83CC-EA9B24FAAC56}"/>
    <cellStyle name="Normal 2 4 2 5 9" xfId="8911" xr:uid="{4A6DEDB0-41A8-4460-9BB5-4691BFC26A44}"/>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44F00E03-D97E-4665-BD67-AB6691104175}"/>
    <cellStyle name="Normal 2 4 2 6 2 2 3" xfId="11472" xr:uid="{B51BEF21-1423-4EA8-8203-4FDCB94DF789}"/>
    <cellStyle name="Normal 2 4 2 6 2 3" xfId="5103" xr:uid="{00000000-0005-0000-0000-0000B20F0000}"/>
    <cellStyle name="Normal 2 4 2 6 2 3 2" xfId="13545" xr:uid="{07C66A3D-DE8F-4F9B-9919-A8FFDAF3F748}"/>
    <cellStyle name="Normal 2 4 2 6 2 4" xfId="9327" xr:uid="{81A45F7A-7E8E-40E5-9B2A-1F1AE7A0DD9E}"/>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2CBA370A-C575-48F0-85B8-0B6BD0C3D944}"/>
    <cellStyle name="Normal 2 4 2 6 3 2 3" xfId="11885" xr:uid="{F3C5F0CB-6849-4E1E-AB80-358F7CCDB35D}"/>
    <cellStyle name="Normal 2 4 2 6 3 3" xfId="5516" xr:uid="{00000000-0005-0000-0000-0000B60F0000}"/>
    <cellStyle name="Normal 2 4 2 6 3 3 2" xfId="13958" xr:uid="{18FDC281-24B1-4C1F-B0E2-C5B83E058FAD}"/>
    <cellStyle name="Normal 2 4 2 6 3 4" xfId="9740" xr:uid="{E0D39F46-EC99-40B1-9FDE-8220D6A12960}"/>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8DB0D53D-F08D-488C-B4E3-3317D7D48F9E}"/>
    <cellStyle name="Normal 2 4 2 6 4 2 3" xfId="12298" xr:uid="{363BF88A-C82B-439A-B7DA-84F93E98910C}"/>
    <cellStyle name="Normal 2 4 2 6 4 3" xfId="5929" xr:uid="{00000000-0005-0000-0000-0000BA0F0000}"/>
    <cellStyle name="Normal 2 4 2 6 4 3 2" xfId="14371" xr:uid="{3963279E-F028-4A95-BA3B-5E32D1F191BF}"/>
    <cellStyle name="Normal 2 4 2 6 4 4" xfId="10153" xr:uid="{F4ADC94E-2ECD-430D-8AA2-4755EA213CDE}"/>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73C8D8EE-2E79-465B-B746-1C1F4B913A26}"/>
    <cellStyle name="Normal 2 4 2 6 5 2 3" xfId="12711" xr:uid="{68D87AA7-E9AB-4D1A-BEA0-2B31E0BD5CD1}"/>
    <cellStyle name="Normal 2 4 2 6 5 3" xfId="6342" xr:uid="{00000000-0005-0000-0000-0000BE0F0000}"/>
    <cellStyle name="Normal 2 4 2 6 5 3 2" xfId="14784" xr:uid="{BDF78817-8582-4D65-ADCB-79865CD849B4}"/>
    <cellStyle name="Normal 2 4 2 6 5 4" xfId="10566" xr:uid="{E92DD69F-7E53-468F-A52F-574037EC0660}"/>
    <cellStyle name="Normal 2 4 2 6 6" xfId="2471" xr:uid="{00000000-0005-0000-0000-0000BF0F0000}"/>
    <cellStyle name="Normal 2 4 2 6 6 2" xfId="6755" xr:uid="{00000000-0005-0000-0000-0000C00F0000}"/>
    <cellStyle name="Normal 2 4 2 6 6 2 2" xfId="15197" xr:uid="{C86EAE55-8D3B-403B-A29C-14FDC17609E1}"/>
    <cellStyle name="Normal 2 4 2 6 6 3" xfId="10979" xr:uid="{24331249-CF78-4CBA-B4E0-024A93FF8EF9}"/>
    <cellStyle name="Normal 2 4 2 6 7" xfId="4689" xr:uid="{00000000-0005-0000-0000-0000C10F0000}"/>
    <cellStyle name="Normal 2 4 2 6 7 2" xfId="13131" xr:uid="{3804BCF8-0877-4BBF-963C-440C83DAD122}"/>
    <cellStyle name="Normal 2 4 2 6 8" xfId="8913" xr:uid="{1A33765D-3EB8-4BF1-A61C-0632F5A1279D}"/>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4D72BE75-6976-4018-A065-3926C1BCAC66}"/>
    <cellStyle name="Normal 2 4 2 7 2 3" xfId="11457" xr:uid="{33CFA09F-1F89-42ED-8AF2-1781FF9AEDA6}"/>
    <cellStyle name="Normal 2 4 2 7 3" xfId="5088" xr:uid="{00000000-0005-0000-0000-0000C50F0000}"/>
    <cellStyle name="Normal 2 4 2 7 3 2" xfId="13530" xr:uid="{FC889410-EB45-457B-B785-7E7E72542186}"/>
    <cellStyle name="Normal 2 4 2 7 4" xfId="9312" xr:uid="{31DEFB2C-3BCA-444C-9E0B-DA87A105AF64}"/>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C3C518D9-5E0A-4C97-BC72-A6306C9BC4AD}"/>
    <cellStyle name="Normal 2 4 2 8 2 3" xfId="11870" xr:uid="{77DC14A5-A800-4067-B5D3-EC1D0BCD051A}"/>
    <cellStyle name="Normal 2 4 2 8 3" xfId="5501" xr:uid="{00000000-0005-0000-0000-0000C90F0000}"/>
    <cellStyle name="Normal 2 4 2 8 3 2" xfId="13943" xr:uid="{EB3D3EC1-0166-47F4-8B0B-1BB34EC33C9C}"/>
    <cellStyle name="Normal 2 4 2 8 4" xfId="9725" xr:uid="{71BCA68E-1FEB-4752-B12D-FF70E7DE7900}"/>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0217EE27-E15B-4F9E-87DC-B3893C640856}"/>
    <cellStyle name="Normal 2 4 2 9 2 3" xfId="12283" xr:uid="{3E3834D0-B2A6-4224-B65A-D394804C0B60}"/>
    <cellStyle name="Normal 2 4 2 9 3" xfId="5914" xr:uid="{00000000-0005-0000-0000-0000CD0F0000}"/>
    <cellStyle name="Normal 2 4 2 9 3 2" xfId="14356" xr:uid="{ED71AFC9-FCEA-4E2B-980B-73D4A0CCB811}"/>
    <cellStyle name="Normal 2 4 2 9 4" xfId="10138" xr:uid="{CA29FE47-A7CE-4002-9D50-F9B3466AB877}"/>
    <cellStyle name="Normal 2 4 3" xfId="296" xr:uid="{00000000-0005-0000-0000-0000CE0F0000}"/>
    <cellStyle name="Normal 2 4 3 10" xfId="8914" xr:uid="{769D4C94-E791-49EB-ABAC-EBE12F69AE02}"/>
    <cellStyle name="Normal 2 4 3 2" xfId="297" xr:uid="{00000000-0005-0000-0000-0000CF0F0000}"/>
    <cellStyle name="Normal 2 4 3 3" xfId="298" xr:uid="{00000000-0005-0000-0000-0000D00F0000}"/>
    <cellStyle name="Normal 2 4 3 3 10" xfId="8915" xr:uid="{FBFA0B66-BD31-42CB-8C35-DCC0A02CA00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48260DD2-7520-41FD-87DA-8ECB9600CDF5}"/>
    <cellStyle name="Normal 2 4 3 3 2 2 2 2 3" xfId="11476" xr:uid="{4EAD6E2D-56EA-4B70-801A-1C6FA8445D69}"/>
    <cellStyle name="Normal 2 4 3 3 2 2 2 3" xfId="5107" xr:uid="{00000000-0005-0000-0000-0000D60F0000}"/>
    <cellStyle name="Normal 2 4 3 3 2 2 2 3 2" xfId="13549" xr:uid="{56776ED0-62C9-4137-91A6-23B5177FCEE3}"/>
    <cellStyle name="Normal 2 4 3 3 2 2 2 4" xfId="9331" xr:uid="{CE64F357-51F9-42DF-9C31-09507E57F1D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8F9403C7-698A-41C3-ADB2-FF05D79C35AA}"/>
    <cellStyle name="Normal 2 4 3 3 2 2 3 2 3" xfId="11889" xr:uid="{B857A207-373B-4D38-9298-446BC6893150}"/>
    <cellStyle name="Normal 2 4 3 3 2 2 3 3" xfId="5520" xr:uid="{00000000-0005-0000-0000-0000DA0F0000}"/>
    <cellStyle name="Normal 2 4 3 3 2 2 3 3 2" xfId="13962" xr:uid="{880824C4-D6FE-4548-8BA6-0B677934C0BE}"/>
    <cellStyle name="Normal 2 4 3 3 2 2 3 4" xfId="9744" xr:uid="{B1F94CB0-AFA6-4A5A-A074-66041102922B}"/>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218B79A3-795D-4489-96F9-2F6894B39D06}"/>
    <cellStyle name="Normal 2 4 3 3 2 2 4 2 3" xfId="12302" xr:uid="{54CBB920-CA9B-45D9-9D03-84A3047993AE}"/>
    <cellStyle name="Normal 2 4 3 3 2 2 4 3" xfId="5933" xr:uid="{00000000-0005-0000-0000-0000DE0F0000}"/>
    <cellStyle name="Normal 2 4 3 3 2 2 4 3 2" xfId="14375" xr:uid="{B50D3BD4-8B6A-48AE-BCB3-146B15A90215}"/>
    <cellStyle name="Normal 2 4 3 3 2 2 4 4" xfId="10157" xr:uid="{EB893DDD-944F-41F9-8415-3CB0B1AB4E02}"/>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3DCE8167-70FC-4F60-8AF6-A847A3EEBFD2}"/>
    <cellStyle name="Normal 2 4 3 3 2 2 5 2 3" xfId="12715" xr:uid="{870C5689-768E-4973-96F6-CA110127ED2F}"/>
    <cellStyle name="Normal 2 4 3 3 2 2 5 3" xfId="6346" xr:uid="{00000000-0005-0000-0000-0000E20F0000}"/>
    <cellStyle name="Normal 2 4 3 3 2 2 5 3 2" xfId="14788" xr:uid="{56A73AE7-D7BB-4A44-8256-E2B57916820E}"/>
    <cellStyle name="Normal 2 4 3 3 2 2 5 4" xfId="10570" xr:uid="{6582BCDC-D21D-4605-B7F9-A350A49066AB}"/>
    <cellStyle name="Normal 2 4 3 3 2 2 6" xfId="2475" xr:uid="{00000000-0005-0000-0000-0000E30F0000}"/>
    <cellStyle name="Normal 2 4 3 3 2 2 6 2" xfId="6759" xr:uid="{00000000-0005-0000-0000-0000E40F0000}"/>
    <cellStyle name="Normal 2 4 3 3 2 2 6 2 2" xfId="15201" xr:uid="{60529463-5BB8-49D5-BBB0-9950C4B4560E}"/>
    <cellStyle name="Normal 2 4 3 3 2 2 6 3" xfId="10983" xr:uid="{C366F7F6-1230-4ABE-99B6-0834EA99B7D3}"/>
    <cellStyle name="Normal 2 4 3 3 2 2 7" xfId="4693" xr:uid="{00000000-0005-0000-0000-0000E50F0000}"/>
    <cellStyle name="Normal 2 4 3 3 2 2 7 2" xfId="13135" xr:uid="{A000721F-1C68-4AEA-9BE5-995ADB9FCEBE}"/>
    <cellStyle name="Normal 2 4 3 3 2 2 8" xfId="8917" xr:uid="{3B0DD0E9-8AFF-4AAF-8EA3-CE0AE8226963}"/>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F81CD226-5C06-4449-98F2-29024AF3FA63}"/>
    <cellStyle name="Normal 2 4 3 3 2 3 2 3" xfId="11475" xr:uid="{20D5B701-BEF7-4E72-A3BD-E5A19C555413}"/>
    <cellStyle name="Normal 2 4 3 3 2 3 3" xfId="5106" xr:uid="{00000000-0005-0000-0000-0000E90F0000}"/>
    <cellStyle name="Normal 2 4 3 3 2 3 3 2" xfId="13548" xr:uid="{DCB7528C-0245-4AA3-891E-366F03D52B2F}"/>
    <cellStyle name="Normal 2 4 3 3 2 3 4" xfId="9330" xr:uid="{6D958158-8BD1-46DE-93AF-47F51930989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420D20B7-39D0-4A99-AAFB-1747F80AA9D8}"/>
    <cellStyle name="Normal 2 4 3 3 2 4 2 3" xfId="11888" xr:uid="{199FF203-DFC1-412F-A4BE-399883814CC4}"/>
    <cellStyle name="Normal 2 4 3 3 2 4 3" xfId="5519" xr:uid="{00000000-0005-0000-0000-0000ED0F0000}"/>
    <cellStyle name="Normal 2 4 3 3 2 4 3 2" xfId="13961" xr:uid="{EBFD08A1-4056-4C6C-ABC7-F16A71038347}"/>
    <cellStyle name="Normal 2 4 3 3 2 4 4" xfId="9743" xr:uid="{B1A8A1C7-3122-48E5-9534-BB36844E0EE3}"/>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FC66096E-985A-4E31-A41B-BE4A84811234}"/>
    <cellStyle name="Normal 2 4 3 3 2 5 2 3" xfId="12301" xr:uid="{130F6F77-D807-4A34-AC08-DE6A357E1A93}"/>
    <cellStyle name="Normal 2 4 3 3 2 5 3" xfId="5932" xr:uid="{00000000-0005-0000-0000-0000F10F0000}"/>
    <cellStyle name="Normal 2 4 3 3 2 5 3 2" xfId="14374" xr:uid="{4AF2EEDE-FB89-4DA9-BBAA-2D777F87DDBA}"/>
    <cellStyle name="Normal 2 4 3 3 2 5 4" xfId="10156" xr:uid="{2EEDE8AC-7EFD-4A7F-BE2A-AE87F25D82C9}"/>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AD8009F8-9258-4BD9-BE25-CDFD3F33A863}"/>
    <cellStyle name="Normal 2 4 3 3 2 6 2 3" xfId="12714" xr:uid="{52700EF6-48C5-4B14-B01B-831DD9BA251D}"/>
    <cellStyle name="Normal 2 4 3 3 2 6 3" xfId="6345" xr:uid="{00000000-0005-0000-0000-0000F50F0000}"/>
    <cellStyle name="Normal 2 4 3 3 2 6 3 2" xfId="14787" xr:uid="{CB40D88D-5B47-4480-8EE5-EF3D4B3E0BCA}"/>
    <cellStyle name="Normal 2 4 3 3 2 6 4" xfId="10569" xr:uid="{9A4A64EB-BBEB-4E3E-8071-3D9DABDAA511}"/>
    <cellStyle name="Normal 2 4 3 3 2 7" xfId="2474" xr:uid="{00000000-0005-0000-0000-0000F60F0000}"/>
    <cellStyle name="Normal 2 4 3 3 2 7 2" xfId="6758" xr:uid="{00000000-0005-0000-0000-0000F70F0000}"/>
    <cellStyle name="Normal 2 4 3 3 2 7 2 2" xfId="15200" xr:uid="{86E496AF-2FF3-4CE5-9C36-F06BFB2997C7}"/>
    <cellStyle name="Normal 2 4 3 3 2 7 3" xfId="10982" xr:uid="{72117253-9D02-4210-AFE2-1BFF2E756144}"/>
    <cellStyle name="Normal 2 4 3 3 2 8" xfId="4692" xr:uid="{00000000-0005-0000-0000-0000F80F0000}"/>
    <cellStyle name="Normal 2 4 3 3 2 8 2" xfId="13134" xr:uid="{A9726A78-2EA9-4844-BA9F-5CD55050A3B5}"/>
    <cellStyle name="Normal 2 4 3 3 2 9" xfId="8916" xr:uid="{D38704A9-B306-44DE-B9C6-7E6B4574F939}"/>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4445C5E7-3BE2-400B-B44D-690C2F7A0700}"/>
    <cellStyle name="Normal 2 4 3 3 3 2 2 3" xfId="11477" xr:uid="{3C58343C-573E-42CE-B529-BE18BDAF6FF5}"/>
    <cellStyle name="Normal 2 4 3 3 3 2 3" xfId="5108" xr:uid="{00000000-0005-0000-0000-0000FD0F0000}"/>
    <cellStyle name="Normal 2 4 3 3 3 2 3 2" xfId="13550" xr:uid="{C4535ACA-959F-4C78-B289-6E853BF8DA5F}"/>
    <cellStyle name="Normal 2 4 3 3 3 2 4" xfId="9332" xr:uid="{51AD6126-0AFA-4E14-87A6-C62D110CEBF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5F4FD37F-FFC6-4CFB-A687-CBDC001A1014}"/>
    <cellStyle name="Normal 2 4 3 3 3 3 2 3" xfId="11890" xr:uid="{E6880966-3535-4955-A6BE-A4EE4FB4B036}"/>
    <cellStyle name="Normal 2 4 3 3 3 3 3" xfId="5521" xr:uid="{00000000-0005-0000-0000-000001100000}"/>
    <cellStyle name="Normal 2 4 3 3 3 3 3 2" xfId="13963" xr:uid="{57C69F03-54A5-4921-8D8D-ADD7DFD05A0E}"/>
    <cellStyle name="Normal 2 4 3 3 3 3 4" xfId="9745" xr:uid="{0A3F5704-8DFC-4D28-9332-F0947912998B}"/>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810A12AA-59A8-43CB-9BD7-90A508369D72}"/>
    <cellStyle name="Normal 2 4 3 3 3 4 2 3" xfId="12303" xr:uid="{3E05282A-00E2-4C71-94EC-18DEB63627FA}"/>
    <cellStyle name="Normal 2 4 3 3 3 4 3" xfId="5934" xr:uid="{00000000-0005-0000-0000-000005100000}"/>
    <cellStyle name="Normal 2 4 3 3 3 4 3 2" xfId="14376" xr:uid="{707346F3-6C7B-45A0-A16A-D4D7916BEED0}"/>
    <cellStyle name="Normal 2 4 3 3 3 4 4" xfId="10158" xr:uid="{0F6886FD-63BA-4B78-9511-B7F16D3AEC69}"/>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318EDE66-B387-4F9F-BE49-FD5FF90CC468}"/>
    <cellStyle name="Normal 2 4 3 3 3 5 2 3" xfId="12716" xr:uid="{86FAE2BE-A879-4995-9A5F-F3DBBD35D0EB}"/>
    <cellStyle name="Normal 2 4 3 3 3 5 3" xfId="6347" xr:uid="{00000000-0005-0000-0000-000009100000}"/>
    <cellStyle name="Normal 2 4 3 3 3 5 3 2" xfId="14789" xr:uid="{6852B1A1-050E-4F47-81C9-68A6669B0CCE}"/>
    <cellStyle name="Normal 2 4 3 3 3 5 4" xfId="10571" xr:uid="{780691EC-D361-4BCC-A75E-9376A5B7F24A}"/>
    <cellStyle name="Normal 2 4 3 3 3 6" xfId="2476" xr:uid="{00000000-0005-0000-0000-00000A100000}"/>
    <cellStyle name="Normal 2 4 3 3 3 6 2" xfId="6760" xr:uid="{00000000-0005-0000-0000-00000B100000}"/>
    <cellStyle name="Normal 2 4 3 3 3 6 2 2" xfId="15202" xr:uid="{E5F69A95-2E0B-425C-8D2D-C27EA16C73BE}"/>
    <cellStyle name="Normal 2 4 3 3 3 6 3" xfId="10984" xr:uid="{88BC776E-A2B2-4DAC-A837-13AC885EA7B4}"/>
    <cellStyle name="Normal 2 4 3 3 3 7" xfId="4694" xr:uid="{00000000-0005-0000-0000-00000C100000}"/>
    <cellStyle name="Normal 2 4 3 3 3 7 2" xfId="13136" xr:uid="{3D01E0B2-A02F-437D-9516-0E4AB8461BF6}"/>
    <cellStyle name="Normal 2 4 3 3 3 8" xfId="8918" xr:uid="{26A92C3C-F017-4425-859D-86B8AB782E7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8D32915A-4765-464B-8538-9F2A73B6FDEA}"/>
    <cellStyle name="Normal 2 4 3 3 4 2 3" xfId="11474" xr:uid="{95BCA29A-17FE-4558-A9DC-2D912F782EE5}"/>
    <cellStyle name="Normal 2 4 3 3 4 3" xfId="5105" xr:uid="{00000000-0005-0000-0000-000010100000}"/>
    <cellStyle name="Normal 2 4 3 3 4 3 2" xfId="13547" xr:uid="{D23BA2E8-F92C-4CDA-985C-C05DAF2C41B9}"/>
    <cellStyle name="Normal 2 4 3 3 4 4" xfId="9329" xr:uid="{0B1366F6-74E9-4C03-9740-9E49F0AF1940}"/>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1DD6C115-2DA1-48D2-9636-CE7B0862074D}"/>
    <cellStyle name="Normal 2 4 3 3 5 2 3" xfId="11887" xr:uid="{C12C73CA-DB4C-404F-9FF0-3CE24BBECB46}"/>
    <cellStyle name="Normal 2 4 3 3 5 3" xfId="5518" xr:uid="{00000000-0005-0000-0000-000014100000}"/>
    <cellStyle name="Normal 2 4 3 3 5 3 2" xfId="13960" xr:uid="{EAD9DFB8-8FB4-45BF-97D2-C453883DD802}"/>
    <cellStyle name="Normal 2 4 3 3 5 4" xfId="9742" xr:uid="{C6166F62-4FEE-4EFC-B2CB-8254232568BC}"/>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A2A7C62-4494-4EB2-92DC-AE0A9D5DD1CF}"/>
    <cellStyle name="Normal 2 4 3 3 6 2 3" xfId="12300" xr:uid="{9CE987AB-936C-4D43-A186-3D480B1BE044}"/>
    <cellStyle name="Normal 2 4 3 3 6 3" xfId="5931" xr:uid="{00000000-0005-0000-0000-000018100000}"/>
    <cellStyle name="Normal 2 4 3 3 6 3 2" xfId="14373" xr:uid="{B327A55C-D430-421D-A977-D983E0B4B0E9}"/>
    <cellStyle name="Normal 2 4 3 3 6 4" xfId="10155" xr:uid="{7858C9FF-F3F9-4A49-AB00-CC3635F2419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44990510-4073-4E09-8D17-48EC48148F90}"/>
    <cellStyle name="Normal 2 4 3 3 7 2 3" xfId="12713" xr:uid="{3FD86AEB-26F7-4AD1-B15B-83A0D396082B}"/>
    <cellStyle name="Normal 2 4 3 3 7 3" xfId="6344" xr:uid="{00000000-0005-0000-0000-00001C100000}"/>
    <cellStyle name="Normal 2 4 3 3 7 3 2" xfId="14786" xr:uid="{25FD6823-8601-4E7E-9DA3-CFBDF9EA9607}"/>
    <cellStyle name="Normal 2 4 3 3 7 4" xfId="10568" xr:uid="{0D6B549E-8894-4917-A7C3-77515601F9B3}"/>
    <cellStyle name="Normal 2 4 3 3 8" xfId="2473" xr:uid="{00000000-0005-0000-0000-00001D100000}"/>
    <cellStyle name="Normal 2 4 3 3 8 2" xfId="6757" xr:uid="{00000000-0005-0000-0000-00001E100000}"/>
    <cellStyle name="Normal 2 4 3 3 8 2 2" xfId="15199" xr:uid="{AFA0716A-CF54-49A7-84F3-86996C2DEE48}"/>
    <cellStyle name="Normal 2 4 3 3 8 3" xfId="10981" xr:uid="{B473AEFA-B5BA-42F2-8C00-0D61C18812A6}"/>
    <cellStyle name="Normal 2 4 3 3 9" xfId="4691" xr:uid="{00000000-0005-0000-0000-00001F100000}"/>
    <cellStyle name="Normal 2 4 3 3 9 2" xfId="13133" xr:uid="{C87B99B5-788B-49F9-A6EA-9D9BA5E4B935}"/>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1E97B5C1-344C-4686-92DC-B865A170BDBD}"/>
    <cellStyle name="Normal 2 4 3 4 2 3" xfId="11473" xr:uid="{4EFBDF30-840E-4CFF-ABC4-242A62836BFA}"/>
    <cellStyle name="Normal 2 4 3 4 3" xfId="5104" xr:uid="{00000000-0005-0000-0000-000023100000}"/>
    <cellStyle name="Normal 2 4 3 4 3 2" xfId="13546" xr:uid="{7A9AE5B6-86BC-4139-85ED-84C38002B3F8}"/>
    <cellStyle name="Normal 2 4 3 4 4" xfId="9328" xr:uid="{CD03D01C-33FE-4106-9DB4-DC594E90F4F2}"/>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27B11EE6-0A45-4055-AEE6-7A9823E8A8B5}"/>
    <cellStyle name="Normal 2 4 3 5 2 3" xfId="11886" xr:uid="{61FCC86A-FD84-4754-9389-A84DD7E8A19A}"/>
    <cellStyle name="Normal 2 4 3 5 3" xfId="5517" xr:uid="{00000000-0005-0000-0000-000027100000}"/>
    <cellStyle name="Normal 2 4 3 5 3 2" xfId="13959" xr:uid="{E31F7512-EE0B-4C47-9121-371C97C0E8C0}"/>
    <cellStyle name="Normal 2 4 3 5 4" xfId="9741" xr:uid="{A10E4370-A74C-429F-96E1-3BA5EB9595C7}"/>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6A4C2309-14C4-457D-A654-453A2B42FE8B}"/>
    <cellStyle name="Normal 2 4 3 6 2 3" xfId="12299" xr:uid="{524BEB98-D3E2-4FC9-B8F0-F76523FA82B5}"/>
    <cellStyle name="Normal 2 4 3 6 3" xfId="5930" xr:uid="{00000000-0005-0000-0000-00002B100000}"/>
    <cellStyle name="Normal 2 4 3 6 3 2" xfId="14372" xr:uid="{B68921EA-FFBF-477D-A5D9-0D5ACEE78908}"/>
    <cellStyle name="Normal 2 4 3 6 4" xfId="10154" xr:uid="{ABC6D367-3C36-4302-AE2E-76A8234DE0B8}"/>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C3E76E40-23A2-4A29-8A96-1FA7805CD60E}"/>
    <cellStyle name="Normal 2 4 3 7 2 3" xfId="12712" xr:uid="{78E423E4-D907-4864-8614-7C6AF0E36501}"/>
    <cellStyle name="Normal 2 4 3 7 3" xfId="6343" xr:uid="{00000000-0005-0000-0000-00002F100000}"/>
    <cellStyle name="Normal 2 4 3 7 3 2" xfId="14785" xr:uid="{6270FD8F-37BA-4FF9-BE99-67D90E95667C}"/>
    <cellStyle name="Normal 2 4 3 7 4" xfId="10567" xr:uid="{292FA720-99DB-4A66-B21B-881826D072C8}"/>
    <cellStyle name="Normal 2 4 3 8" xfId="2472" xr:uid="{00000000-0005-0000-0000-000030100000}"/>
    <cellStyle name="Normal 2 4 3 8 2" xfId="6756" xr:uid="{00000000-0005-0000-0000-000031100000}"/>
    <cellStyle name="Normal 2 4 3 8 2 2" xfId="15198" xr:uid="{235A0995-0C67-4494-8D97-E90E4CD405D8}"/>
    <cellStyle name="Normal 2 4 3 8 3" xfId="10980" xr:uid="{CAEFB150-4329-4638-94EC-B6F82CABC184}"/>
    <cellStyle name="Normal 2 4 3 9" xfId="4690" xr:uid="{00000000-0005-0000-0000-000032100000}"/>
    <cellStyle name="Normal 2 4 3 9 2" xfId="13132" xr:uid="{209A4E8F-626B-442E-9DD0-1BF46CF4847B}"/>
    <cellStyle name="Normal 2 4 4" xfId="302" xr:uid="{00000000-0005-0000-0000-000033100000}"/>
    <cellStyle name="Normal 2 4 5" xfId="303" xr:uid="{00000000-0005-0000-0000-000034100000}"/>
    <cellStyle name="Normal 2 4 5 10" xfId="4695" xr:uid="{00000000-0005-0000-0000-000035100000}"/>
    <cellStyle name="Normal 2 4 5 10 2" xfId="13137" xr:uid="{E4278EBD-A3BF-40CE-AD91-AC6B533F4F2B}"/>
    <cellStyle name="Normal 2 4 5 11" xfId="8919" xr:uid="{8CED71AA-ECFD-49AC-BCA8-D34B0D1AA37D}"/>
    <cellStyle name="Normal 2 4 5 2" xfId="304" xr:uid="{00000000-0005-0000-0000-000036100000}"/>
    <cellStyle name="Normal 2 4 5 2 10" xfId="8920" xr:uid="{5FAA549B-7B44-4808-B1D3-F75899F3E5EC}"/>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2BB9569D-6C19-46DE-B3FC-433C2D509E3C}"/>
    <cellStyle name="Normal 2 4 5 2 2 2 2 2 3" xfId="11481" xr:uid="{15B57A95-AFC4-4A6F-8269-026D13F16D1C}"/>
    <cellStyle name="Normal 2 4 5 2 2 2 2 3" xfId="5112" xr:uid="{00000000-0005-0000-0000-00003C100000}"/>
    <cellStyle name="Normal 2 4 5 2 2 2 2 3 2" xfId="13554" xr:uid="{491DA961-5513-45F6-895F-D28E42CB3C7D}"/>
    <cellStyle name="Normal 2 4 5 2 2 2 2 4" xfId="9336" xr:uid="{C2481FF5-2F42-48D7-92D6-AE916ACA8DFF}"/>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E7278934-1E9C-4D15-B7EA-1F492A67EEAF}"/>
    <cellStyle name="Normal 2 4 5 2 2 2 3 2 3" xfId="11894" xr:uid="{2DAE2AB3-E452-4FCC-86BA-D9B6C7DEEFBA}"/>
    <cellStyle name="Normal 2 4 5 2 2 2 3 3" xfId="5525" xr:uid="{00000000-0005-0000-0000-000040100000}"/>
    <cellStyle name="Normal 2 4 5 2 2 2 3 3 2" xfId="13967" xr:uid="{4039CBC9-A3DD-44CD-99D5-FFDEF42B0C7F}"/>
    <cellStyle name="Normal 2 4 5 2 2 2 3 4" xfId="9749" xr:uid="{1801B5CF-E239-47CA-8D45-821A59D1B79E}"/>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462114E4-F365-4CEA-A1D6-EDA6E82C1E63}"/>
    <cellStyle name="Normal 2 4 5 2 2 2 4 2 3" xfId="12307" xr:uid="{EA15E296-EB0D-4E6A-8763-F85B3E0EF10B}"/>
    <cellStyle name="Normal 2 4 5 2 2 2 4 3" xfId="5938" xr:uid="{00000000-0005-0000-0000-000044100000}"/>
    <cellStyle name="Normal 2 4 5 2 2 2 4 3 2" xfId="14380" xr:uid="{8AE92812-F568-4066-BA28-C937294FE6DC}"/>
    <cellStyle name="Normal 2 4 5 2 2 2 4 4" xfId="10162" xr:uid="{DB8BD5B9-8294-4DE5-9FD2-CA6644F3E0C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7E233C58-7BD8-4309-B125-C275EC7FEB7F}"/>
    <cellStyle name="Normal 2 4 5 2 2 2 5 2 3" xfId="12720" xr:uid="{19CB3EE7-1737-4A9A-81A4-1C0E47C641AA}"/>
    <cellStyle name="Normal 2 4 5 2 2 2 5 3" xfId="6351" xr:uid="{00000000-0005-0000-0000-000048100000}"/>
    <cellStyle name="Normal 2 4 5 2 2 2 5 3 2" xfId="14793" xr:uid="{FF5A2C57-95F8-47AC-8F12-B06EF3154068}"/>
    <cellStyle name="Normal 2 4 5 2 2 2 5 4" xfId="10575" xr:uid="{F0FCB1EC-BC39-46E1-A4B0-A714817480DC}"/>
    <cellStyle name="Normal 2 4 5 2 2 2 6" xfId="2480" xr:uid="{00000000-0005-0000-0000-000049100000}"/>
    <cellStyle name="Normal 2 4 5 2 2 2 6 2" xfId="6764" xr:uid="{00000000-0005-0000-0000-00004A100000}"/>
    <cellStyle name="Normal 2 4 5 2 2 2 6 2 2" xfId="15206" xr:uid="{0C629DBA-BC83-4C01-A5E1-C8B1883945C0}"/>
    <cellStyle name="Normal 2 4 5 2 2 2 6 3" xfId="10988" xr:uid="{DAF07BB2-A61F-4DDE-8A21-A22FE10A65FF}"/>
    <cellStyle name="Normal 2 4 5 2 2 2 7" xfId="4698" xr:uid="{00000000-0005-0000-0000-00004B100000}"/>
    <cellStyle name="Normal 2 4 5 2 2 2 7 2" xfId="13140" xr:uid="{CB338C48-ECC9-48E7-8AB8-741F2B55E4D9}"/>
    <cellStyle name="Normal 2 4 5 2 2 2 8" xfId="8922" xr:uid="{5FA4E99D-51AF-4285-8777-A2A83B6581B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44F34524-14F3-4CB6-AE9F-B2A8D6CD4C59}"/>
    <cellStyle name="Normal 2 4 5 2 2 3 2 3" xfId="11480" xr:uid="{0BCA3B36-49AF-4A2F-B375-BF56489B0BCC}"/>
    <cellStyle name="Normal 2 4 5 2 2 3 3" xfId="5111" xr:uid="{00000000-0005-0000-0000-00004F100000}"/>
    <cellStyle name="Normal 2 4 5 2 2 3 3 2" xfId="13553" xr:uid="{38F4F45C-A765-4CC9-8189-492C66113008}"/>
    <cellStyle name="Normal 2 4 5 2 2 3 4" xfId="9335" xr:uid="{40FBA507-09C7-4F05-81CC-12DC8849C11D}"/>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8A14FF3C-A72C-48FF-9AD3-B604986A4861}"/>
    <cellStyle name="Normal 2 4 5 2 2 4 2 3" xfId="11893" xr:uid="{E1DC5355-46A0-48EA-822F-7DBD2C7A9B07}"/>
    <cellStyle name="Normal 2 4 5 2 2 4 3" xfId="5524" xr:uid="{00000000-0005-0000-0000-000053100000}"/>
    <cellStyle name="Normal 2 4 5 2 2 4 3 2" xfId="13966" xr:uid="{E34D6D74-FF19-4248-8839-69F8E6E1B27C}"/>
    <cellStyle name="Normal 2 4 5 2 2 4 4" xfId="9748" xr:uid="{F6507D0B-9848-46D6-A99C-CA451AE96E7C}"/>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E0556609-568B-4615-8982-88D7D90E4EE1}"/>
    <cellStyle name="Normal 2 4 5 2 2 5 2 3" xfId="12306" xr:uid="{E7E9947F-120E-4FCD-8CEC-8302624CDD8E}"/>
    <cellStyle name="Normal 2 4 5 2 2 5 3" xfId="5937" xr:uid="{00000000-0005-0000-0000-000057100000}"/>
    <cellStyle name="Normal 2 4 5 2 2 5 3 2" xfId="14379" xr:uid="{F28BF345-C4D6-469C-ACB4-1D31E9073FBB}"/>
    <cellStyle name="Normal 2 4 5 2 2 5 4" xfId="10161" xr:uid="{3B210E86-9C35-452F-ABA4-036F198ABE58}"/>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B7023BF6-EF7D-4C6C-9308-45BB61F0365E}"/>
    <cellStyle name="Normal 2 4 5 2 2 6 2 3" xfId="12719" xr:uid="{A5DE6299-9268-4821-BE19-7866D68177FC}"/>
    <cellStyle name="Normal 2 4 5 2 2 6 3" xfId="6350" xr:uid="{00000000-0005-0000-0000-00005B100000}"/>
    <cellStyle name="Normal 2 4 5 2 2 6 3 2" xfId="14792" xr:uid="{E6F01FB1-5CF7-4D73-A827-394E6C9371F7}"/>
    <cellStyle name="Normal 2 4 5 2 2 6 4" xfId="10574" xr:uid="{061442EE-645F-4F11-8466-16431EEF6FAD}"/>
    <cellStyle name="Normal 2 4 5 2 2 7" xfId="2479" xr:uid="{00000000-0005-0000-0000-00005C100000}"/>
    <cellStyle name="Normal 2 4 5 2 2 7 2" xfId="6763" xr:uid="{00000000-0005-0000-0000-00005D100000}"/>
    <cellStyle name="Normal 2 4 5 2 2 7 2 2" xfId="15205" xr:uid="{79090A68-5762-4794-88DF-113CE92253C6}"/>
    <cellStyle name="Normal 2 4 5 2 2 7 3" xfId="10987" xr:uid="{AF40C00A-807F-4378-AABE-E5734A5AD358}"/>
    <cellStyle name="Normal 2 4 5 2 2 8" xfId="4697" xr:uid="{00000000-0005-0000-0000-00005E100000}"/>
    <cellStyle name="Normal 2 4 5 2 2 8 2" xfId="13139" xr:uid="{9C069A8B-907F-4704-B986-4CAC81DE54A8}"/>
    <cellStyle name="Normal 2 4 5 2 2 9" xfId="8921" xr:uid="{4B7CA5B2-0159-4203-9E92-B979C1ED4BD1}"/>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65803936-225A-40A5-A893-35D8AA6FFCD0}"/>
    <cellStyle name="Normal 2 4 5 2 3 2 2 3" xfId="11482" xr:uid="{02025640-24B9-4CDC-80A9-C9C638394D82}"/>
    <cellStyle name="Normal 2 4 5 2 3 2 3" xfId="5113" xr:uid="{00000000-0005-0000-0000-000063100000}"/>
    <cellStyle name="Normal 2 4 5 2 3 2 3 2" xfId="13555" xr:uid="{D9D884A1-11C0-4E82-80EF-D3481D6350C7}"/>
    <cellStyle name="Normal 2 4 5 2 3 2 4" xfId="9337" xr:uid="{655EC8EB-CDDE-43B0-B940-1B2C37E8E3A6}"/>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46228498-C545-464B-8A90-3A2EE1B58B31}"/>
    <cellStyle name="Normal 2 4 5 2 3 3 2 3" xfId="11895" xr:uid="{4DC2BF8A-FD7B-4A52-B5EA-F24C2ECEEC83}"/>
    <cellStyle name="Normal 2 4 5 2 3 3 3" xfId="5526" xr:uid="{00000000-0005-0000-0000-000067100000}"/>
    <cellStyle name="Normal 2 4 5 2 3 3 3 2" xfId="13968" xr:uid="{8B1465C3-A2A8-427B-938F-75916D9C66C3}"/>
    <cellStyle name="Normal 2 4 5 2 3 3 4" xfId="9750" xr:uid="{FA11DE53-197A-4E30-8FA1-220DE32607CA}"/>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E5C33D48-E68B-4752-A72B-7E6F5E4C9D31}"/>
    <cellStyle name="Normal 2 4 5 2 3 4 2 3" xfId="12308" xr:uid="{28458C47-B269-49FE-8577-B473ADD66B7D}"/>
    <cellStyle name="Normal 2 4 5 2 3 4 3" xfId="5939" xr:uid="{00000000-0005-0000-0000-00006B100000}"/>
    <cellStyle name="Normal 2 4 5 2 3 4 3 2" xfId="14381" xr:uid="{8EA944D3-9FEA-49BA-83FE-101E988462F7}"/>
    <cellStyle name="Normal 2 4 5 2 3 4 4" xfId="10163" xr:uid="{55AAB617-0827-4810-9B47-E27A4E4AB829}"/>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7031FBCC-6CD6-4DA4-8A2F-9D4A019D60D1}"/>
    <cellStyle name="Normal 2 4 5 2 3 5 2 3" xfId="12721" xr:uid="{89C18696-1D28-4DCF-8535-A168EAD72A91}"/>
    <cellStyle name="Normal 2 4 5 2 3 5 3" xfId="6352" xr:uid="{00000000-0005-0000-0000-00006F100000}"/>
    <cellStyle name="Normal 2 4 5 2 3 5 3 2" xfId="14794" xr:uid="{C1C502AB-4089-4090-B039-6847672D9508}"/>
    <cellStyle name="Normal 2 4 5 2 3 5 4" xfId="10576" xr:uid="{055BDE5E-C320-4FFD-9AC3-4D8E1BD97B61}"/>
    <cellStyle name="Normal 2 4 5 2 3 6" xfId="2481" xr:uid="{00000000-0005-0000-0000-000070100000}"/>
    <cellStyle name="Normal 2 4 5 2 3 6 2" xfId="6765" xr:uid="{00000000-0005-0000-0000-000071100000}"/>
    <cellStyle name="Normal 2 4 5 2 3 6 2 2" xfId="15207" xr:uid="{01BD5A1F-EFDF-4CA7-8B9F-0D077CC82EF2}"/>
    <cellStyle name="Normal 2 4 5 2 3 6 3" xfId="10989" xr:uid="{BD3589EF-3E95-4068-8DE4-D5EC36814A82}"/>
    <cellStyle name="Normal 2 4 5 2 3 7" xfId="4699" xr:uid="{00000000-0005-0000-0000-000072100000}"/>
    <cellStyle name="Normal 2 4 5 2 3 7 2" xfId="13141" xr:uid="{C3FCDA27-8D07-4124-99F2-33BA165B3FB5}"/>
    <cellStyle name="Normal 2 4 5 2 3 8" xfId="8923" xr:uid="{8551B3B0-B513-4C24-A660-D083391435C4}"/>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085CE202-71D6-47CC-A910-51306ADAD893}"/>
    <cellStyle name="Normal 2 4 5 2 4 2 3" xfId="11479" xr:uid="{877E4138-8B05-468F-9AB8-9CB721C3DAFB}"/>
    <cellStyle name="Normal 2 4 5 2 4 3" xfId="5110" xr:uid="{00000000-0005-0000-0000-000076100000}"/>
    <cellStyle name="Normal 2 4 5 2 4 3 2" xfId="13552" xr:uid="{A077FED3-D027-4A89-8B8A-16CD9FC98F0F}"/>
    <cellStyle name="Normal 2 4 5 2 4 4" xfId="9334" xr:uid="{FE8C5148-E26E-4B2C-98AD-57C26E1D49DF}"/>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2EA2F1D6-D829-42A3-9333-2DFA0E79BEE5}"/>
    <cellStyle name="Normal 2 4 5 2 5 2 3" xfId="11892" xr:uid="{BDBDF179-0073-4ABE-AE00-53F8138761CC}"/>
    <cellStyle name="Normal 2 4 5 2 5 3" xfId="5523" xr:uid="{00000000-0005-0000-0000-00007A100000}"/>
    <cellStyle name="Normal 2 4 5 2 5 3 2" xfId="13965" xr:uid="{11B80B56-85FC-499C-A49E-612D0BE97DE9}"/>
    <cellStyle name="Normal 2 4 5 2 5 4" xfId="9747" xr:uid="{37FF5994-A2CB-461E-921F-D9C210965377}"/>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A6E92E3E-5FCC-4B35-81B1-8949E0887688}"/>
    <cellStyle name="Normal 2 4 5 2 6 2 3" xfId="12305" xr:uid="{C612ED62-34B3-4E21-825F-A05CD33512CD}"/>
    <cellStyle name="Normal 2 4 5 2 6 3" xfId="5936" xr:uid="{00000000-0005-0000-0000-00007E100000}"/>
    <cellStyle name="Normal 2 4 5 2 6 3 2" xfId="14378" xr:uid="{304350FF-FFF5-428A-AFF7-6B0097B06B22}"/>
    <cellStyle name="Normal 2 4 5 2 6 4" xfId="10160" xr:uid="{0E4D0B34-EBAC-41B5-97A2-7D3E0D2999C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D1DAFB7D-4627-465C-B062-EFBE4C23A643}"/>
    <cellStyle name="Normal 2 4 5 2 7 2 3" xfId="12718" xr:uid="{08A952A5-0B33-4617-874F-1255CA50A804}"/>
    <cellStyle name="Normal 2 4 5 2 7 3" xfId="6349" xr:uid="{00000000-0005-0000-0000-000082100000}"/>
    <cellStyle name="Normal 2 4 5 2 7 3 2" xfId="14791" xr:uid="{9C68952A-3976-4747-A19F-AD532AE2A3A8}"/>
    <cellStyle name="Normal 2 4 5 2 7 4" xfId="10573" xr:uid="{6BB862B4-E96D-48BE-AC11-4310DF7D81D1}"/>
    <cellStyle name="Normal 2 4 5 2 8" xfId="2478" xr:uid="{00000000-0005-0000-0000-000083100000}"/>
    <cellStyle name="Normal 2 4 5 2 8 2" xfId="6762" xr:uid="{00000000-0005-0000-0000-000084100000}"/>
    <cellStyle name="Normal 2 4 5 2 8 2 2" xfId="15204" xr:uid="{B4E076F6-B196-4339-A927-CA52C7139336}"/>
    <cellStyle name="Normal 2 4 5 2 8 3" xfId="10986" xr:uid="{B4B02072-0378-42A8-A5FF-198B6C69875D}"/>
    <cellStyle name="Normal 2 4 5 2 9" xfId="4696" xr:uid="{00000000-0005-0000-0000-000085100000}"/>
    <cellStyle name="Normal 2 4 5 2 9 2" xfId="13138" xr:uid="{E8F47AB0-8595-4C41-8EE5-25D2477D31FB}"/>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45B3C55C-E7DD-409A-AAEF-5E7A724A369E}"/>
    <cellStyle name="Normal 2 4 5 3 2 2 2 3" xfId="11484" xr:uid="{0406DBB5-DC1F-43B4-B7C0-D93C883E4FB6}"/>
    <cellStyle name="Normal 2 4 5 3 2 2 3" xfId="5115" xr:uid="{00000000-0005-0000-0000-00008B100000}"/>
    <cellStyle name="Normal 2 4 5 3 2 2 3 2" xfId="13557" xr:uid="{C34B966E-D2D1-4C37-B2CC-20054EA3734C}"/>
    <cellStyle name="Normal 2 4 5 3 2 2 4" xfId="9339" xr:uid="{503E58DE-51C4-442C-A9D1-1247318DF9F2}"/>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DD8D5C09-C752-482A-ABC8-1F04ED9259A9}"/>
    <cellStyle name="Normal 2 4 5 3 2 3 2 3" xfId="11897" xr:uid="{019A0D56-AC10-40C2-9D6E-9C46A3B64EC3}"/>
    <cellStyle name="Normal 2 4 5 3 2 3 3" xfId="5528" xr:uid="{00000000-0005-0000-0000-00008F100000}"/>
    <cellStyle name="Normal 2 4 5 3 2 3 3 2" xfId="13970" xr:uid="{87270BC8-767C-42EB-B2AC-6EE0BBCFA6D7}"/>
    <cellStyle name="Normal 2 4 5 3 2 3 4" xfId="9752" xr:uid="{EA2D2020-60B6-4D41-93A5-3AAB4EEC82D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92B6F63A-A595-4C23-A438-B453772B3E5E}"/>
    <cellStyle name="Normal 2 4 5 3 2 4 2 3" xfId="12310" xr:uid="{710BFA77-EBAD-4A89-BF7C-2B2BD561C829}"/>
    <cellStyle name="Normal 2 4 5 3 2 4 3" xfId="5941" xr:uid="{00000000-0005-0000-0000-000093100000}"/>
    <cellStyle name="Normal 2 4 5 3 2 4 3 2" xfId="14383" xr:uid="{92C47C2E-654B-46A4-819E-8845BCC3A0E9}"/>
    <cellStyle name="Normal 2 4 5 3 2 4 4" xfId="10165" xr:uid="{06B723A7-E96F-4865-B7AD-5EDD6E479C1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8D0EEF09-286C-45E6-A4B2-BCCCF2E28F3B}"/>
    <cellStyle name="Normal 2 4 5 3 2 5 2 3" xfId="12723" xr:uid="{F6A76A0F-0F8B-4F6E-A825-10B9A0DC5420}"/>
    <cellStyle name="Normal 2 4 5 3 2 5 3" xfId="6354" xr:uid="{00000000-0005-0000-0000-000097100000}"/>
    <cellStyle name="Normal 2 4 5 3 2 5 3 2" xfId="14796" xr:uid="{6CD344BE-6815-469F-A241-983A528297B1}"/>
    <cellStyle name="Normal 2 4 5 3 2 5 4" xfId="10578" xr:uid="{C95B79AA-0264-4E1F-8759-D565DE31D3BB}"/>
    <cellStyle name="Normal 2 4 5 3 2 6" xfId="2483" xr:uid="{00000000-0005-0000-0000-000098100000}"/>
    <cellStyle name="Normal 2 4 5 3 2 6 2" xfId="6767" xr:uid="{00000000-0005-0000-0000-000099100000}"/>
    <cellStyle name="Normal 2 4 5 3 2 6 2 2" xfId="15209" xr:uid="{0F1ED31C-68C4-4D63-A1E6-A1E330D9D02D}"/>
    <cellStyle name="Normal 2 4 5 3 2 6 3" xfId="10991" xr:uid="{07D7C1F1-F5AF-4830-8DC6-8CAD34A1A343}"/>
    <cellStyle name="Normal 2 4 5 3 2 7" xfId="4701" xr:uid="{00000000-0005-0000-0000-00009A100000}"/>
    <cellStyle name="Normal 2 4 5 3 2 7 2" xfId="13143" xr:uid="{D7DD9A8D-A1AB-45E7-A232-AB37E55FB5DB}"/>
    <cellStyle name="Normal 2 4 5 3 2 8" xfId="8925" xr:uid="{5B0EF6B8-4246-46E4-AF68-DB0574A9C40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0C5975C4-ACCD-430F-A6C0-FC1A2D8A89DD}"/>
    <cellStyle name="Normal 2 4 5 3 3 2 3" xfId="11483" xr:uid="{3B7280F3-C02F-4523-942A-47831C1062E5}"/>
    <cellStyle name="Normal 2 4 5 3 3 3" xfId="5114" xr:uid="{00000000-0005-0000-0000-00009E100000}"/>
    <cellStyle name="Normal 2 4 5 3 3 3 2" xfId="13556" xr:uid="{02EC3E40-4E40-4C32-88EF-ACAA6BDE654C}"/>
    <cellStyle name="Normal 2 4 5 3 3 4" xfId="9338" xr:uid="{3A1261C8-43DB-464A-8ACD-505580BD888D}"/>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04D13025-77BA-4C16-9711-38C0802EF8FF}"/>
    <cellStyle name="Normal 2 4 5 3 4 2 3" xfId="11896" xr:uid="{6BAB4A04-F32F-46F1-9EF6-856471C7EAE4}"/>
    <cellStyle name="Normal 2 4 5 3 4 3" xfId="5527" xr:uid="{00000000-0005-0000-0000-0000A2100000}"/>
    <cellStyle name="Normal 2 4 5 3 4 3 2" xfId="13969" xr:uid="{3DF77D36-6E67-4388-80A8-1DEA3CCD6715}"/>
    <cellStyle name="Normal 2 4 5 3 4 4" xfId="9751" xr:uid="{64E4D7AA-14AE-4732-B277-582242257711}"/>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7F15E9F4-1FD5-4B84-91B1-B12E0CE977FA}"/>
    <cellStyle name="Normal 2 4 5 3 5 2 3" xfId="12309" xr:uid="{6D595FF1-8CB8-4990-B85F-40C572CA280B}"/>
    <cellStyle name="Normal 2 4 5 3 5 3" xfId="5940" xr:uid="{00000000-0005-0000-0000-0000A6100000}"/>
    <cellStyle name="Normal 2 4 5 3 5 3 2" xfId="14382" xr:uid="{92D2440E-F6F2-4847-812C-2605265CDD0B}"/>
    <cellStyle name="Normal 2 4 5 3 5 4" xfId="10164" xr:uid="{3B23E6B2-7C33-499E-9C35-1C8D2249AD63}"/>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66ED01AD-4771-4252-A04A-D36979AA47E1}"/>
    <cellStyle name="Normal 2 4 5 3 6 2 3" xfId="12722" xr:uid="{C8C4C96E-92E9-4D4F-94E3-4EBEA037E571}"/>
    <cellStyle name="Normal 2 4 5 3 6 3" xfId="6353" xr:uid="{00000000-0005-0000-0000-0000AA100000}"/>
    <cellStyle name="Normal 2 4 5 3 6 3 2" xfId="14795" xr:uid="{F140163E-8AC2-490F-9B23-350B7FD84310}"/>
    <cellStyle name="Normal 2 4 5 3 6 4" xfId="10577" xr:uid="{790C58F3-323A-444E-A190-E4764924051E}"/>
    <cellStyle name="Normal 2 4 5 3 7" xfId="2482" xr:uid="{00000000-0005-0000-0000-0000AB100000}"/>
    <cellStyle name="Normal 2 4 5 3 7 2" xfId="6766" xr:uid="{00000000-0005-0000-0000-0000AC100000}"/>
    <cellStyle name="Normal 2 4 5 3 7 2 2" xfId="15208" xr:uid="{0CE9E9C9-29B3-476D-A877-52F24F661A20}"/>
    <cellStyle name="Normal 2 4 5 3 7 3" xfId="10990" xr:uid="{AF2D5793-2375-4085-840C-0E4370B4010D}"/>
    <cellStyle name="Normal 2 4 5 3 8" xfId="4700" xr:uid="{00000000-0005-0000-0000-0000AD100000}"/>
    <cellStyle name="Normal 2 4 5 3 8 2" xfId="13142" xr:uid="{7131E134-A52E-456C-B90C-7E30D4F61E83}"/>
    <cellStyle name="Normal 2 4 5 3 9" xfId="8924" xr:uid="{EE726D15-2727-49FC-88CA-EB48ADBBB8ED}"/>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F5175E55-5ECA-42B3-9CB3-B1FDBBF8C3EF}"/>
    <cellStyle name="Normal 2 4 5 4 2 2 3" xfId="11485" xr:uid="{1D5D23ED-7321-4226-9076-7B09B5899C7B}"/>
    <cellStyle name="Normal 2 4 5 4 2 3" xfId="5116" xr:uid="{00000000-0005-0000-0000-0000B2100000}"/>
    <cellStyle name="Normal 2 4 5 4 2 3 2" xfId="13558" xr:uid="{E36214EA-E63C-403B-A157-947F403959AC}"/>
    <cellStyle name="Normal 2 4 5 4 2 4" xfId="9340" xr:uid="{9744F2BB-1B16-49D0-B205-01C3BBF3A85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D642085B-15A8-4541-ACC1-62F36F5C5358}"/>
    <cellStyle name="Normal 2 4 5 4 3 2 3" xfId="11898" xr:uid="{C6AA8CFC-F00F-4A9A-8629-D5ACC8BEFA16}"/>
    <cellStyle name="Normal 2 4 5 4 3 3" xfId="5529" xr:uid="{00000000-0005-0000-0000-0000B6100000}"/>
    <cellStyle name="Normal 2 4 5 4 3 3 2" xfId="13971" xr:uid="{4B9E7439-7E4B-489A-BD6D-0197FAA494E7}"/>
    <cellStyle name="Normal 2 4 5 4 3 4" xfId="9753" xr:uid="{4B8FB0DB-7354-402A-988E-2798D6AF6979}"/>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1F84BE68-ADBF-4B12-997D-16E66E2674D5}"/>
    <cellStyle name="Normal 2 4 5 4 4 2 3" xfId="12311" xr:uid="{7E5D6C7D-D6FF-4915-9F97-0F499A2357C8}"/>
    <cellStyle name="Normal 2 4 5 4 4 3" xfId="5942" xr:uid="{00000000-0005-0000-0000-0000BA100000}"/>
    <cellStyle name="Normal 2 4 5 4 4 3 2" xfId="14384" xr:uid="{CEF68330-EFDF-48CD-9B8B-C70937924179}"/>
    <cellStyle name="Normal 2 4 5 4 4 4" xfId="10166" xr:uid="{58B39078-1E91-4124-9F62-5086AC9BF4BD}"/>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1ADEA1B8-722E-496D-B6F7-32DC3FEB07A8}"/>
    <cellStyle name="Normal 2 4 5 4 5 2 3" xfId="12724" xr:uid="{0C249E91-F934-4335-A217-9387378BF768}"/>
    <cellStyle name="Normal 2 4 5 4 5 3" xfId="6355" xr:uid="{00000000-0005-0000-0000-0000BE100000}"/>
    <cellStyle name="Normal 2 4 5 4 5 3 2" xfId="14797" xr:uid="{2071B798-931B-45AF-93A5-3289B94821C5}"/>
    <cellStyle name="Normal 2 4 5 4 5 4" xfId="10579" xr:uid="{23F47E2C-2D54-4D16-BB7F-2F8D8E93E870}"/>
    <cellStyle name="Normal 2 4 5 4 6" xfId="2484" xr:uid="{00000000-0005-0000-0000-0000BF100000}"/>
    <cellStyle name="Normal 2 4 5 4 6 2" xfId="6768" xr:uid="{00000000-0005-0000-0000-0000C0100000}"/>
    <cellStyle name="Normal 2 4 5 4 6 2 2" xfId="15210" xr:uid="{5E8A65E9-96F3-4297-A9DA-0C803F0EA7A7}"/>
    <cellStyle name="Normal 2 4 5 4 6 3" xfId="10992" xr:uid="{12BEA9E8-98E6-4727-B4BA-2CB2FA5495A7}"/>
    <cellStyle name="Normal 2 4 5 4 7" xfId="4702" xr:uid="{00000000-0005-0000-0000-0000C1100000}"/>
    <cellStyle name="Normal 2 4 5 4 7 2" xfId="13144" xr:uid="{DD69E670-0C2C-42FA-BDA4-36DBFA556D1B}"/>
    <cellStyle name="Normal 2 4 5 4 8" xfId="8926" xr:uid="{421C456C-A2C3-4650-A473-B479D962575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42D5803F-E811-466B-A904-6556495B4217}"/>
    <cellStyle name="Normal 2 4 5 5 2 3" xfId="11478" xr:uid="{9D822EF5-29B7-4D7B-8A13-3DEB2D05BDD8}"/>
    <cellStyle name="Normal 2 4 5 5 3" xfId="5109" xr:uid="{00000000-0005-0000-0000-0000C5100000}"/>
    <cellStyle name="Normal 2 4 5 5 3 2" xfId="13551" xr:uid="{9B12B0AB-7D12-446E-A545-337EE79F7DF8}"/>
    <cellStyle name="Normal 2 4 5 5 4" xfId="9333" xr:uid="{B5678207-7873-4442-9018-51DAC8502897}"/>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5BA12200-DC11-470D-98BA-F0B89ABA8311}"/>
    <cellStyle name="Normal 2 4 5 6 2 3" xfId="11891" xr:uid="{277C65D9-6E25-4191-A5C5-316726C54345}"/>
    <cellStyle name="Normal 2 4 5 6 3" xfId="5522" xr:uid="{00000000-0005-0000-0000-0000C9100000}"/>
    <cellStyle name="Normal 2 4 5 6 3 2" xfId="13964" xr:uid="{EF7A285E-2A75-4643-959C-FA57128AB28D}"/>
    <cellStyle name="Normal 2 4 5 6 4" xfId="9746" xr:uid="{A5E79C5A-2302-4ED7-9DF3-B7BAEB87BCFB}"/>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ADB9032F-311E-4E53-999A-91AB550C01B2}"/>
    <cellStyle name="Normal 2 4 5 7 2 3" xfId="12304" xr:uid="{D86A5652-FBF8-47DF-B384-8FC7677BB6FB}"/>
    <cellStyle name="Normal 2 4 5 7 3" xfId="5935" xr:uid="{00000000-0005-0000-0000-0000CD100000}"/>
    <cellStyle name="Normal 2 4 5 7 3 2" xfId="14377" xr:uid="{7749B12D-0235-4B85-A657-C7C2199E3026}"/>
    <cellStyle name="Normal 2 4 5 7 4" xfId="10159" xr:uid="{503F2E33-1967-4791-9672-107BD65F0282}"/>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86389388-C112-48A2-8BBF-B2C6211C666F}"/>
    <cellStyle name="Normal 2 4 5 8 2 3" xfId="12717" xr:uid="{1F853199-DF16-4FEB-8DC2-B8E989514A5D}"/>
    <cellStyle name="Normal 2 4 5 8 3" xfId="6348" xr:uid="{00000000-0005-0000-0000-0000D1100000}"/>
    <cellStyle name="Normal 2 4 5 8 3 2" xfId="14790" xr:uid="{5C805CAB-F310-4417-9AA3-B9B78A44DFB2}"/>
    <cellStyle name="Normal 2 4 5 8 4" xfId="10572" xr:uid="{B1FB3B0D-8ADC-4E32-81AB-D2F7D1E5BA1D}"/>
    <cellStyle name="Normal 2 4 5 9" xfId="2477" xr:uid="{00000000-0005-0000-0000-0000D2100000}"/>
    <cellStyle name="Normal 2 4 5 9 2" xfId="6761" xr:uid="{00000000-0005-0000-0000-0000D3100000}"/>
    <cellStyle name="Normal 2 4 5 9 2 2" xfId="15203" xr:uid="{AB076434-F890-4342-A615-7B795B599FA2}"/>
    <cellStyle name="Normal 2 4 5 9 3" xfId="10985" xr:uid="{AFDC994E-23F2-4D3B-886C-948BCBAEDFC6}"/>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49BEA32C-74EB-4E09-B9EF-396C25474C77}"/>
    <cellStyle name="Normal 2 4 7 2 2 2 3" xfId="11487" xr:uid="{09B2C4DF-AF30-4AB6-BB25-409F0527A12A}"/>
    <cellStyle name="Normal 2 4 7 2 2 3" xfId="5118" xr:uid="{00000000-0005-0000-0000-0000DA100000}"/>
    <cellStyle name="Normal 2 4 7 2 2 3 2" xfId="13560" xr:uid="{200EE1E3-73D3-4503-B618-B3CAA02CD9E1}"/>
    <cellStyle name="Normal 2 4 7 2 2 4" xfId="9342" xr:uid="{17A60A14-A54D-4FCD-A469-23C583D0E8B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FAF645A3-E3A8-4760-B7AB-4F87842E76F5}"/>
    <cellStyle name="Normal 2 4 7 2 3 2 3" xfId="11900" xr:uid="{7843A148-D4DB-46D2-9280-F21B20F91903}"/>
    <cellStyle name="Normal 2 4 7 2 3 3" xfId="5531" xr:uid="{00000000-0005-0000-0000-0000DE100000}"/>
    <cellStyle name="Normal 2 4 7 2 3 3 2" xfId="13973" xr:uid="{70B13718-5B53-4595-A13E-E614FA3929C9}"/>
    <cellStyle name="Normal 2 4 7 2 3 4" xfId="9755" xr:uid="{02014739-8F31-4F6F-93AB-0AA327C77E1B}"/>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14FB89A4-9C78-425D-9EF2-47E8CE9F1B52}"/>
    <cellStyle name="Normal 2 4 7 2 4 2 3" xfId="12313" xr:uid="{CF8FFFD1-9660-445D-A5D1-E8D221F4B1E0}"/>
    <cellStyle name="Normal 2 4 7 2 4 3" xfId="5944" xr:uid="{00000000-0005-0000-0000-0000E2100000}"/>
    <cellStyle name="Normal 2 4 7 2 4 3 2" xfId="14386" xr:uid="{FB09744A-2AE3-4CAD-811E-75F26A41FA04}"/>
    <cellStyle name="Normal 2 4 7 2 4 4" xfId="10168" xr:uid="{BE8E2B73-BC42-42D7-99B6-6255488BFAF4}"/>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4C8D5208-B991-4144-AC87-ADBF72F91166}"/>
    <cellStyle name="Normal 2 4 7 2 5 2 3" xfId="12726" xr:uid="{158FE78B-4EED-4216-8672-701BBD6036C8}"/>
    <cellStyle name="Normal 2 4 7 2 5 3" xfId="6357" xr:uid="{00000000-0005-0000-0000-0000E6100000}"/>
    <cellStyle name="Normal 2 4 7 2 5 3 2" xfId="14799" xr:uid="{5A426371-B9EC-4D81-8D20-06EB763CBFAA}"/>
    <cellStyle name="Normal 2 4 7 2 5 4" xfId="10581" xr:uid="{C3CD9A24-4669-4893-B111-108EAB40F617}"/>
    <cellStyle name="Normal 2 4 7 2 6" xfId="2486" xr:uid="{00000000-0005-0000-0000-0000E7100000}"/>
    <cellStyle name="Normal 2 4 7 2 6 2" xfId="6770" xr:uid="{00000000-0005-0000-0000-0000E8100000}"/>
    <cellStyle name="Normal 2 4 7 2 6 2 2" xfId="15212" xr:uid="{EDE15450-0CEC-47B1-B1E0-1E3AE3352594}"/>
    <cellStyle name="Normal 2 4 7 2 6 3" xfId="10994" xr:uid="{6CE591EE-EBC9-49E1-B4AB-EE811B498ABB}"/>
    <cellStyle name="Normal 2 4 7 2 7" xfId="4704" xr:uid="{00000000-0005-0000-0000-0000E9100000}"/>
    <cellStyle name="Normal 2 4 7 2 7 2" xfId="13146" xr:uid="{2D3B3CA0-0B6A-4111-8CCE-873C25AF0F04}"/>
    <cellStyle name="Normal 2 4 7 2 8" xfId="8928" xr:uid="{05DE9DB1-BC2D-4ECF-A5CF-9FAC4DDD9EFD}"/>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F41A13B2-B2B5-46FD-A3BA-F5DC957C06A9}"/>
    <cellStyle name="Normal 2 4 7 3 2 3" xfId="11486" xr:uid="{C53693D0-0E1C-4CE4-AAC7-9300EAE41498}"/>
    <cellStyle name="Normal 2 4 7 3 3" xfId="5117" xr:uid="{00000000-0005-0000-0000-0000ED100000}"/>
    <cellStyle name="Normal 2 4 7 3 3 2" xfId="13559" xr:uid="{62F17612-6844-4351-8FB3-77CA881689E1}"/>
    <cellStyle name="Normal 2 4 7 3 4" xfId="9341" xr:uid="{FB41BCEC-AFE2-4BE9-9A3E-7CD2B483B8A3}"/>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63C44C23-0647-4724-A9BC-8547A3CC68A7}"/>
    <cellStyle name="Normal 2 4 7 4 2 3" xfId="11899" xr:uid="{8A54F40E-40F9-4870-B988-EB08EFEF28D3}"/>
    <cellStyle name="Normal 2 4 7 4 3" xfId="5530" xr:uid="{00000000-0005-0000-0000-0000F1100000}"/>
    <cellStyle name="Normal 2 4 7 4 3 2" xfId="13972" xr:uid="{F078180D-C403-4F84-96BF-02E584E286CB}"/>
    <cellStyle name="Normal 2 4 7 4 4" xfId="9754" xr:uid="{67CA22E3-7C70-4543-BB62-04518416BF50}"/>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A8005462-C0E4-48CD-B5C2-FE626463086F}"/>
    <cellStyle name="Normal 2 4 7 5 2 3" xfId="12312" xr:uid="{F051BEA3-EE7A-4CCF-8754-889358CBE8ED}"/>
    <cellStyle name="Normal 2 4 7 5 3" xfId="5943" xr:uid="{00000000-0005-0000-0000-0000F5100000}"/>
    <cellStyle name="Normal 2 4 7 5 3 2" xfId="14385" xr:uid="{197C0F37-C1CE-461B-80F1-829D7665BC39}"/>
    <cellStyle name="Normal 2 4 7 5 4" xfId="10167" xr:uid="{A7F91BF2-16CB-46F1-B60C-45D56F2CCB93}"/>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D892708-D7A9-4608-A3D4-18B525A8D0AA}"/>
    <cellStyle name="Normal 2 4 7 6 2 3" xfId="12725" xr:uid="{D7F6A9CE-EC97-4E15-8378-23334848A612}"/>
    <cellStyle name="Normal 2 4 7 6 3" xfId="6356" xr:uid="{00000000-0005-0000-0000-0000F9100000}"/>
    <cellStyle name="Normal 2 4 7 6 3 2" xfId="14798" xr:uid="{C160E13C-F5C4-4C63-90A5-087EDEC1F710}"/>
    <cellStyle name="Normal 2 4 7 6 4" xfId="10580" xr:uid="{72A04792-A7D1-40A1-B7D8-C234AAB5933B}"/>
    <cellStyle name="Normal 2 4 7 7" xfId="2485" xr:uid="{00000000-0005-0000-0000-0000FA100000}"/>
    <cellStyle name="Normal 2 4 7 7 2" xfId="6769" xr:uid="{00000000-0005-0000-0000-0000FB100000}"/>
    <cellStyle name="Normal 2 4 7 7 2 2" xfId="15211" xr:uid="{2243067E-D655-4F3A-987C-9BC130168EC6}"/>
    <cellStyle name="Normal 2 4 7 7 3" xfId="10993" xr:uid="{6DE5FD50-A8C5-4FC3-8B0F-70CC9763D93B}"/>
    <cellStyle name="Normal 2 4 7 8" xfId="4703" xr:uid="{00000000-0005-0000-0000-0000FC100000}"/>
    <cellStyle name="Normal 2 4 7 8 2" xfId="13145" xr:uid="{9E32DD16-5217-489E-B07E-57431E577726}"/>
    <cellStyle name="Normal 2 4 7 9" xfId="8927" xr:uid="{CF471F33-36C3-4559-9D65-45EAFAC8876F}"/>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A473ED40-03DF-4518-B4C5-19CD0CC785C4}"/>
    <cellStyle name="Normal 2 4 8 2 2 3" xfId="11488" xr:uid="{3BEF892F-787A-40B0-A626-DCD121874B9D}"/>
    <cellStyle name="Normal 2 4 8 2 3" xfId="5119" xr:uid="{00000000-0005-0000-0000-000001110000}"/>
    <cellStyle name="Normal 2 4 8 2 3 2" xfId="13561" xr:uid="{F7A1EA2D-6914-4F06-B83E-2313D54C8F4C}"/>
    <cellStyle name="Normal 2 4 8 2 4" xfId="9343" xr:uid="{EFD25695-075D-44DA-8441-4731DA76C25F}"/>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C814C476-3485-49D4-8387-FDDF48F5F608}"/>
    <cellStyle name="Normal 2 4 8 3 2 3" xfId="11901" xr:uid="{6C19EEEC-6951-4DA5-9B73-0D8477EFE6E0}"/>
    <cellStyle name="Normal 2 4 8 3 3" xfId="5532" xr:uid="{00000000-0005-0000-0000-000005110000}"/>
    <cellStyle name="Normal 2 4 8 3 3 2" xfId="13974" xr:uid="{6517407F-A381-4360-AA60-F607257C00BB}"/>
    <cellStyle name="Normal 2 4 8 3 4" xfId="9756" xr:uid="{D25E9576-5E36-4DA0-815A-41C82ABA7854}"/>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91BF241E-A482-4FA4-8B02-25CF7EAC62C2}"/>
    <cellStyle name="Normal 2 4 8 4 2 3" xfId="12314" xr:uid="{63BDF70A-BFAB-428C-A956-B1404CD923C0}"/>
    <cellStyle name="Normal 2 4 8 4 3" xfId="5945" xr:uid="{00000000-0005-0000-0000-000009110000}"/>
    <cellStyle name="Normal 2 4 8 4 3 2" xfId="14387" xr:uid="{E5F1589D-2962-44BC-AFDC-0A515348A2B8}"/>
    <cellStyle name="Normal 2 4 8 4 4" xfId="10169" xr:uid="{DF57882F-AB2B-485B-9602-100D8B0A9369}"/>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B20BA56F-52D4-4943-BB64-0889A0AC7D28}"/>
    <cellStyle name="Normal 2 4 8 5 2 3" xfId="12727" xr:uid="{57CAB3BE-E298-4B9A-A996-0693B7204A4A}"/>
    <cellStyle name="Normal 2 4 8 5 3" xfId="6358" xr:uid="{00000000-0005-0000-0000-00000D110000}"/>
    <cellStyle name="Normal 2 4 8 5 3 2" xfId="14800" xr:uid="{C1E3F057-9BF0-4444-B316-D066132A2EEB}"/>
    <cellStyle name="Normal 2 4 8 5 4" xfId="10582" xr:uid="{DF38DA48-37EC-41D8-B3C8-AA66E3325E29}"/>
    <cellStyle name="Normal 2 4 8 6" xfId="2487" xr:uid="{00000000-0005-0000-0000-00000E110000}"/>
    <cellStyle name="Normal 2 4 8 6 2" xfId="6771" xr:uid="{00000000-0005-0000-0000-00000F110000}"/>
    <cellStyle name="Normal 2 4 8 6 2 2" xfId="15213" xr:uid="{18BF17F6-8BB6-4C7A-B7D6-FD5D1E3F3ABC}"/>
    <cellStyle name="Normal 2 4 8 6 3" xfId="10995" xr:uid="{B3BA841F-3C72-4173-B955-240056247E6E}"/>
    <cellStyle name="Normal 2 4 8 7" xfId="4705" xr:uid="{00000000-0005-0000-0000-000010110000}"/>
    <cellStyle name="Normal 2 4 8 7 2" xfId="13147" xr:uid="{30CCB8F2-3C0F-4EDD-A529-5FC02ECB1F4A}"/>
    <cellStyle name="Normal 2 4 8 8" xfId="8929" xr:uid="{CD21BCBE-20C4-45F8-9171-A9885531CDBF}"/>
    <cellStyle name="Normal 2 5" xfId="315" xr:uid="{00000000-0005-0000-0000-000011110000}"/>
    <cellStyle name="Normal 2 5 10" xfId="4706" xr:uid="{00000000-0005-0000-0000-000012110000}"/>
    <cellStyle name="Normal 2 5 10 2" xfId="13148" xr:uid="{C5A96A85-0564-4648-83DE-7FAF5F95A72B}"/>
    <cellStyle name="Normal 2 5 11" xfId="8930" xr:uid="{B8589793-1EF3-40BE-BD3D-E3994486F159}"/>
    <cellStyle name="Normal 2 5 2" xfId="316" xr:uid="{00000000-0005-0000-0000-000013110000}"/>
    <cellStyle name="Normal 2 5 3" xfId="317" xr:uid="{00000000-0005-0000-0000-000014110000}"/>
    <cellStyle name="Normal 2 5 4" xfId="318" xr:uid="{00000000-0005-0000-0000-000015110000}"/>
    <cellStyle name="Normal 2 5 4 10" xfId="8931" xr:uid="{6682AF57-F6FF-49EF-8928-B57DCBF86B21}"/>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52EB252A-EFA7-492D-8558-94A750C103E7}"/>
    <cellStyle name="Normal 2 5 4 2 2 2 2 3" xfId="11492" xr:uid="{73FA952D-F158-4D5D-9A9B-B11B6687E990}"/>
    <cellStyle name="Normal 2 5 4 2 2 2 3" xfId="5123" xr:uid="{00000000-0005-0000-0000-00001B110000}"/>
    <cellStyle name="Normal 2 5 4 2 2 2 3 2" xfId="13565" xr:uid="{C1803F2E-83C3-4764-94E0-401504FB962A}"/>
    <cellStyle name="Normal 2 5 4 2 2 2 4" xfId="9347" xr:uid="{26DE2761-27E5-41DC-BCCC-3D6856E346EE}"/>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FA6D101D-6173-4E57-906E-7F68C8E47482}"/>
    <cellStyle name="Normal 2 5 4 2 2 3 2 3" xfId="11905" xr:uid="{77F32501-1907-4A8F-BD5F-6DD1EEAF296D}"/>
    <cellStyle name="Normal 2 5 4 2 2 3 3" xfId="5536" xr:uid="{00000000-0005-0000-0000-00001F110000}"/>
    <cellStyle name="Normal 2 5 4 2 2 3 3 2" xfId="13978" xr:uid="{EB134028-65FC-420C-9AF1-187C6A7083E6}"/>
    <cellStyle name="Normal 2 5 4 2 2 3 4" xfId="9760" xr:uid="{0FFC7525-8215-4BB0-8DCF-4B1CCB1362C4}"/>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C64EA3C2-EA6D-4BCD-8F15-6A66C8A1F9F6}"/>
    <cellStyle name="Normal 2 5 4 2 2 4 2 3" xfId="12318" xr:uid="{3F29D5A3-A214-43A6-83DB-A0469DD3F0EF}"/>
    <cellStyle name="Normal 2 5 4 2 2 4 3" xfId="5949" xr:uid="{00000000-0005-0000-0000-000023110000}"/>
    <cellStyle name="Normal 2 5 4 2 2 4 3 2" xfId="14391" xr:uid="{81990E78-B86E-46F5-96E4-1CDB2811827E}"/>
    <cellStyle name="Normal 2 5 4 2 2 4 4" xfId="10173" xr:uid="{6ABF03B2-C006-4C7D-874B-F3266569DDFB}"/>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4D318BBE-7546-423D-A2B8-C35A16B74AFB}"/>
    <cellStyle name="Normal 2 5 4 2 2 5 2 3" xfId="12731" xr:uid="{0170335C-8B21-4A9F-888B-2049860813C8}"/>
    <cellStyle name="Normal 2 5 4 2 2 5 3" xfId="6362" xr:uid="{00000000-0005-0000-0000-000027110000}"/>
    <cellStyle name="Normal 2 5 4 2 2 5 3 2" xfId="14804" xr:uid="{A2CAC200-45AF-4C0B-8DB8-1004E1D2F7B0}"/>
    <cellStyle name="Normal 2 5 4 2 2 5 4" xfId="10586" xr:uid="{317E58C9-03FB-4E66-92F8-3124C3A2F71C}"/>
    <cellStyle name="Normal 2 5 4 2 2 6" xfId="2491" xr:uid="{00000000-0005-0000-0000-000028110000}"/>
    <cellStyle name="Normal 2 5 4 2 2 6 2" xfId="6775" xr:uid="{00000000-0005-0000-0000-000029110000}"/>
    <cellStyle name="Normal 2 5 4 2 2 6 2 2" xfId="15217" xr:uid="{0B9C2F52-A5CA-4899-B8B8-37C292C31F1D}"/>
    <cellStyle name="Normal 2 5 4 2 2 6 3" xfId="10999" xr:uid="{4C154350-672A-4F9B-AC7D-573DDD70994E}"/>
    <cellStyle name="Normal 2 5 4 2 2 7" xfId="4709" xr:uid="{00000000-0005-0000-0000-00002A110000}"/>
    <cellStyle name="Normal 2 5 4 2 2 7 2" xfId="13151" xr:uid="{7E5B99A5-66C9-4661-830C-5F9E88B579BB}"/>
    <cellStyle name="Normal 2 5 4 2 2 8" xfId="8933" xr:uid="{95A9B6EE-33B7-4209-8B9A-656C96E18591}"/>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F6058295-0361-4658-9A42-F02941502161}"/>
    <cellStyle name="Normal 2 5 4 2 3 2 3" xfId="11491" xr:uid="{EF09FBC8-B279-40D4-9A86-F0A204FFD7AB}"/>
    <cellStyle name="Normal 2 5 4 2 3 3" xfId="5122" xr:uid="{00000000-0005-0000-0000-00002E110000}"/>
    <cellStyle name="Normal 2 5 4 2 3 3 2" xfId="13564" xr:uid="{0F704ECF-15CD-4DCB-ABDD-4AB94CF4B490}"/>
    <cellStyle name="Normal 2 5 4 2 3 4" xfId="9346" xr:uid="{D2BD269E-1701-4CFC-ABB1-5A77DF0E8F4C}"/>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9A5047FE-A959-4406-B951-70B977653A9F}"/>
    <cellStyle name="Normal 2 5 4 2 4 2 3" xfId="11904" xr:uid="{3F08BA01-8C0D-42D1-AA45-1ED24F1B17C9}"/>
    <cellStyle name="Normal 2 5 4 2 4 3" xfId="5535" xr:uid="{00000000-0005-0000-0000-000032110000}"/>
    <cellStyle name="Normal 2 5 4 2 4 3 2" xfId="13977" xr:uid="{54F97474-BD3C-4DE7-B5B6-11E0F06B903C}"/>
    <cellStyle name="Normal 2 5 4 2 4 4" xfId="9759" xr:uid="{DAEF22F3-060A-41B8-9EFA-6EA93EE1CAE4}"/>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2E5D7E5F-01A5-4C7A-A143-26049CFFF6B4}"/>
    <cellStyle name="Normal 2 5 4 2 5 2 3" xfId="12317" xr:uid="{A93B41F4-D6E5-44C2-9A59-55688AF63EA2}"/>
    <cellStyle name="Normal 2 5 4 2 5 3" xfId="5948" xr:uid="{00000000-0005-0000-0000-000036110000}"/>
    <cellStyle name="Normal 2 5 4 2 5 3 2" xfId="14390" xr:uid="{263BD9EE-8EE0-4090-98CC-0CF914F78ADF}"/>
    <cellStyle name="Normal 2 5 4 2 5 4" xfId="10172" xr:uid="{3EE44600-EE21-401A-92FA-1377B04F5844}"/>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2BF7E762-83AB-4CB8-8459-730C5FAD9B45}"/>
    <cellStyle name="Normal 2 5 4 2 6 2 3" xfId="12730" xr:uid="{1E05D06C-7D67-403A-AA43-67BAA9215080}"/>
    <cellStyle name="Normal 2 5 4 2 6 3" xfId="6361" xr:uid="{00000000-0005-0000-0000-00003A110000}"/>
    <cellStyle name="Normal 2 5 4 2 6 3 2" xfId="14803" xr:uid="{B825D2F4-E67A-4B58-A749-BC316E1A123B}"/>
    <cellStyle name="Normal 2 5 4 2 6 4" xfId="10585" xr:uid="{64E20060-8A25-47A6-BA81-40A1971A7C18}"/>
    <cellStyle name="Normal 2 5 4 2 7" xfId="2490" xr:uid="{00000000-0005-0000-0000-00003B110000}"/>
    <cellStyle name="Normal 2 5 4 2 7 2" xfId="6774" xr:uid="{00000000-0005-0000-0000-00003C110000}"/>
    <cellStyle name="Normal 2 5 4 2 7 2 2" xfId="15216" xr:uid="{0E493FB9-A9CB-46BE-B218-30C37D60A3F0}"/>
    <cellStyle name="Normal 2 5 4 2 7 3" xfId="10998" xr:uid="{4D259C48-6A47-4387-8111-17C98CC8270E}"/>
    <cellStyle name="Normal 2 5 4 2 8" xfId="4708" xr:uid="{00000000-0005-0000-0000-00003D110000}"/>
    <cellStyle name="Normal 2 5 4 2 8 2" xfId="13150" xr:uid="{6C3636D5-028C-42F2-B046-EB32A6AA9937}"/>
    <cellStyle name="Normal 2 5 4 2 9" xfId="8932" xr:uid="{9F1AA679-C448-4B0A-9CA5-83A8F081693D}"/>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88F7412B-B7A8-4B72-B3D3-69AA2C9081CD}"/>
    <cellStyle name="Normal 2 5 4 3 2 2 3" xfId="11493" xr:uid="{B53A391E-E0C6-47A9-8EFD-142F33698521}"/>
    <cellStyle name="Normal 2 5 4 3 2 3" xfId="5124" xr:uid="{00000000-0005-0000-0000-000042110000}"/>
    <cellStyle name="Normal 2 5 4 3 2 3 2" xfId="13566" xr:uid="{726CBF08-B84D-48E9-AA4F-92BE227FD8B7}"/>
    <cellStyle name="Normal 2 5 4 3 2 4" xfId="9348" xr:uid="{2CD814B6-234C-43A4-8E1B-359BB964097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B003DC08-0B1E-4C46-8C13-87471498AF0D}"/>
    <cellStyle name="Normal 2 5 4 3 3 2 3" xfId="11906" xr:uid="{1A38B42F-0E0F-4D6D-98E0-98648A2C2F0D}"/>
    <cellStyle name="Normal 2 5 4 3 3 3" xfId="5537" xr:uid="{00000000-0005-0000-0000-000046110000}"/>
    <cellStyle name="Normal 2 5 4 3 3 3 2" xfId="13979" xr:uid="{744858DE-052F-4F84-9FFC-4830BD3A1F79}"/>
    <cellStyle name="Normal 2 5 4 3 3 4" xfId="9761" xr:uid="{06A90C6E-DC7A-4C1F-9FCF-48BD57E136E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DD479187-4079-44FB-B596-03C0D6E03C5E}"/>
    <cellStyle name="Normal 2 5 4 3 4 2 3" xfId="12319" xr:uid="{598F5779-F42F-4D82-AED1-88FE2CB2BC68}"/>
    <cellStyle name="Normal 2 5 4 3 4 3" xfId="5950" xr:uid="{00000000-0005-0000-0000-00004A110000}"/>
    <cellStyle name="Normal 2 5 4 3 4 3 2" xfId="14392" xr:uid="{228FD0C4-3A4F-4D12-8E6B-32E82A19A410}"/>
    <cellStyle name="Normal 2 5 4 3 4 4" xfId="10174" xr:uid="{1F7B37E5-2E24-48ED-BC63-F53DD75F6189}"/>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1F60813-A8F1-4956-ABEC-66669EBB8B81}"/>
    <cellStyle name="Normal 2 5 4 3 5 2 3" xfId="12732" xr:uid="{0E90FED4-8E6E-4469-A394-25864C326F30}"/>
    <cellStyle name="Normal 2 5 4 3 5 3" xfId="6363" xr:uid="{00000000-0005-0000-0000-00004E110000}"/>
    <cellStyle name="Normal 2 5 4 3 5 3 2" xfId="14805" xr:uid="{4BC69FC8-7BE9-4A86-9989-C9D99AD8A451}"/>
    <cellStyle name="Normal 2 5 4 3 5 4" xfId="10587" xr:uid="{F0D125D0-2D9D-46C8-85CB-DB71519099EA}"/>
    <cellStyle name="Normal 2 5 4 3 6" xfId="2492" xr:uid="{00000000-0005-0000-0000-00004F110000}"/>
    <cellStyle name="Normal 2 5 4 3 6 2" xfId="6776" xr:uid="{00000000-0005-0000-0000-000050110000}"/>
    <cellStyle name="Normal 2 5 4 3 6 2 2" xfId="15218" xr:uid="{AB5CF103-2091-4A2B-BC47-A881EB61AD1C}"/>
    <cellStyle name="Normal 2 5 4 3 6 3" xfId="11000" xr:uid="{06021547-7BCB-49D2-BDA7-D8E4C8E819F5}"/>
    <cellStyle name="Normal 2 5 4 3 7" xfId="4710" xr:uid="{00000000-0005-0000-0000-000051110000}"/>
    <cellStyle name="Normal 2 5 4 3 7 2" xfId="13152" xr:uid="{BAE05F61-A81B-4542-B7F7-6671BA407203}"/>
    <cellStyle name="Normal 2 5 4 3 8" xfId="8934" xr:uid="{EE2A18F3-C6EE-42DE-9CFF-47A0D654FC17}"/>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3A595BDD-38D6-45EC-8198-2ACA1D1FF25B}"/>
    <cellStyle name="Normal 2 5 4 4 2 3" xfId="11490" xr:uid="{161AD281-20A0-4686-B618-6CEBF1B5A43E}"/>
    <cellStyle name="Normal 2 5 4 4 3" xfId="5121" xr:uid="{00000000-0005-0000-0000-000055110000}"/>
    <cellStyle name="Normal 2 5 4 4 3 2" xfId="13563" xr:uid="{1221FF6D-77BB-4F52-8B50-1820F877D9E1}"/>
    <cellStyle name="Normal 2 5 4 4 4" xfId="9345" xr:uid="{85E7E26E-1A7E-4178-8D88-51563BD32209}"/>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4DCA5F28-DEEF-48FF-ABB5-5BB6BA5B2834}"/>
    <cellStyle name="Normal 2 5 4 5 2 3" xfId="11903" xr:uid="{540B53F6-B1C5-415E-806C-9E1999C3A7A1}"/>
    <cellStyle name="Normal 2 5 4 5 3" xfId="5534" xr:uid="{00000000-0005-0000-0000-000059110000}"/>
    <cellStyle name="Normal 2 5 4 5 3 2" xfId="13976" xr:uid="{E747CD69-5C6B-40D8-8972-691861E7D9E9}"/>
    <cellStyle name="Normal 2 5 4 5 4" xfId="9758" xr:uid="{EB69E76C-B3A6-4E32-93F4-ADCC4076A2FC}"/>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E0D85A10-421F-4A0B-B3B5-5A58CBF1C5BA}"/>
    <cellStyle name="Normal 2 5 4 6 2 3" xfId="12316" xr:uid="{5914E1E5-8E03-4E34-BA15-672C743F6F32}"/>
    <cellStyle name="Normal 2 5 4 6 3" xfId="5947" xr:uid="{00000000-0005-0000-0000-00005D110000}"/>
    <cellStyle name="Normal 2 5 4 6 3 2" xfId="14389" xr:uid="{BA4DA91A-ABE9-42D9-9C1A-802394996A8C}"/>
    <cellStyle name="Normal 2 5 4 6 4" xfId="10171" xr:uid="{5A4949BB-F320-4232-8F4C-F43D6E20F286}"/>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FB59A391-F54A-49DD-A967-662B7BE2E858}"/>
    <cellStyle name="Normal 2 5 4 7 2 3" xfId="12729" xr:uid="{80B4A6BB-912A-4CC2-A1FC-A8A3B66CE0BB}"/>
    <cellStyle name="Normal 2 5 4 7 3" xfId="6360" xr:uid="{00000000-0005-0000-0000-000061110000}"/>
    <cellStyle name="Normal 2 5 4 7 3 2" xfId="14802" xr:uid="{29CCA76F-6EDA-4D45-92CC-831087178B62}"/>
    <cellStyle name="Normal 2 5 4 7 4" xfId="10584" xr:uid="{2C572AE2-6DF3-461F-B2C2-BC3E1DB487A9}"/>
    <cellStyle name="Normal 2 5 4 8" xfId="2489" xr:uid="{00000000-0005-0000-0000-000062110000}"/>
    <cellStyle name="Normal 2 5 4 8 2" xfId="6773" xr:uid="{00000000-0005-0000-0000-000063110000}"/>
    <cellStyle name="Normal 2 5 4 8 2 2" xfId="15215" xr:uid="{92B865A7-6993-45F0-8B9E-A8A995A1D16D}"/>
    <cellStyle name="Normal 2 5 4 8 3" xfId="10997" xr:uid="{AC266753-88F0-4066-9965-B7E1A41D7C55}"/>
    <cellStyle name="Normal 2 5 4 9" xfId="4707" xr:uid="{00000000-0005-0000-0000-000064110000}"/>
    <cellStyle name="Normal 2 5 4 9 2" xfId="13149" xr:uid="{EC54D630-64A6-4CCE-AE56-15305E9CF6BC}"/>
    <cellStyle name="Normal 2 5 5" xfId="803" xr:uid="{00000000-0005-0000-0000-000065110000}"/>
    <cellStyle name="Normal 2 5 5 2" xfId="3042" xr:uid="{00000000-0005-0000-0000-000066110000}"/>
    <cellStyle name="Normal 2 5 5 2 2" xfId="7265" xr:uid="{00000000-0005-0000-0000-000067110000}"/>
    <cellStyle name="Normal 2 5 5 2 2 2" xfId="15707" xr:uid="{16798CCB-65BA-4604-9189-0EC82DA1D06A}"/>
    <cellStyle name="Normal 2 5 5 2 3" xfId="11489" xr:uid="{08165EBF-048B-4DA2-87CB-B3E7731AB66E}"/>
    <cellStyle name="Normal 2 5 5 3" xfId="5120" xr:uid="{00000000-0005-0000-0000-000068110000}"/>
    <cellStyle name="Normal 2 5 5 3 2" xfId="13562" xr:uid="{D5E3C147-5686-49C3-BB9E-601A1E916622}"/>
    <cellStyle name="Normal 2 5 5 4" xfId="9344" xr:uid="{FD09E25C-DBDC-4C75-BA88-10EA07FD071B}"/>
    <cellStyle name="Normal 2 5 6" xfId="1225" xr:uid="{00000000-0005-0000-0000-000069110000}"/>
    <cellStyle name="Normal 2 5 6 2" xfId="3455" xr:uid="{00000000-0005-0000-0000-00006A110000}"/>
    <cellStyle name="Normal 2 5 6 2 2" xfId="7678" xr:uid="{00000000-0005-0000-0000-00006B110000}"/>
    <cellStyle name="Normal 2 5 6 2 2 2" xfId="16120" xr:uid="{4F25392F-4939-44EC-9FFA-6E7553883AEB}"/>
    <cellStyle name="Normal 2 5 6 2 3" xfId="11902" xr:uid="{3BBB9F2C-1A59-4864-B6DA-F54A7F2693A2}"/>
    <cellStyle name="Normal 2 5 6 3" xfId="5533" xr:uid="{00000000-0005-0000-0000-00006C110000}"/>
    <cellStyle name="Normal 2 5 6 3 2" xfId="13975" xr:uid="{E137F05A-2533-4E74-BEA4-C0D021079769}"/>
    <cellStyle name="Normal 2 5 6 4" xfId="9757" xr:uid="{447EED48-DF6F-4701-9AC5-36089F4D1F1D}"/>
    <cellStyle name="Normal 2 5 7" xfId="1638" xr:uid="{00000000-0005-0000-0000-00006D110000}"/>
    <cellStyle name="Normal 2 5 7 2" xfId="3868" xr:uid="{00000000-0005-0000-0000-00006E110000}"/>
    <cellStyle name="Normal 2 5 7 2 2" xfId="8091" xr:uid="{00000000-0005-0000-0000-00006F110000}"/>
    <cellStyle name="Normal 2 5 7 2 2 2" xfId="16533" xr:uid="{3686BBB6-CFC2-481E-9DB7-F46DB5DB901D}"/>
    <cellStyle name="Normal 2 5 7 2 3" xfId="12315" xr:uid="{6DEC4DFB-F68D-408E-9B89-17CCDBA4B35F}"/>
    <cellStyle name="Normal 2 5 7 3" xfId="5946" xr:uid="{00000000-0005-0000-0000-000070110000}"/>
    <cellStyle name="Normal 2 5 7 3 2" xfId="14388" xr:uid="{ED1E13FC-B17B-40A1-A701-14B6CF5E096C}"/>
    <cellStyle name="Normal 2 5 7 4" xfId="10170" xr:uid="{B3F1A254-32B5-4F35-87A1-D64C553DE37B}"/>
    <cellStyle name="Normal 2 5 8" xfId="2052" xr:uid="{00000000-0005-0000-0000-000071110000}"/>
    <cellStyle name="Normal 2 5 8 2" xfId="4281" xr:uid="{00000000-0005-0000-0000-000072110000}"/>
    <cellStyle name="Normal 2 5 8 2 2" xfId="8504" xr:uid="{00000000-0005-0000-0000-000073110000}"/>
    <cellStyle name="Normal 2 5 8 2 2 2" xfId="16946" xr:uid="{6D850E76-C221-4588-8E0E-59E9494123A2}"/>
    <cellStyle name="Normal 2 5 8 2 3" xfId="12728" xr:uid="{D9AEDF4D-6098-4FC3-9E3A-F8BEAB93A1AA}"/>
    <cellStyle name="Normal 2 5 8 3" xfId="6359" xr:uid="{00000000-0005-0000-0000-000074110000}"/>
    <cellStyle name="Normal 2 5 8 3 2" xfId="14801" xr:uid="{857B1453-4361-47D5-89E6-F9F7D405443C}"/>
    <cellStyle name="Normal 2 5 8 4" xfId="10583" xr:uid="{8BFA1F5C-9907-4084-AA8F-43B1C109EF01}"/>
    <cellStyle name="Normal 2 5 9" xfId="2488" xr:uid="{00000000-0005-0000-0000-000075110000}"/>
    <cellStyle name="Normal 2 5 9 2" xfId="6772" xr:uid="{00000000-0005-0000-0000-000076110000}"/>
    <cellStyle name="Normal 2 5 9 2 2" xfId="15214" xr:uid="{04105A37-6F54-4A94-BC00-89D9F6EC899E}"/>
    <cellStyle name="Normal 2 5 9 3" xfId="10996" xr:uid="{39FDBF18-64EA-4B34-A055-25680373EF61}"/>
    <cellStyle name="Normal 2 6" xfId="322" xr:uid="{00000000-0005-0000-0000-000077110000}"/>
    <cellStyle name="Normal 2 7" xfId="769" xr:uid="{00000000-0005-0000-0000-000078110000}"/>
    <cellStyle name="Normal 2 8" xfId="4495" xr:uid="{00000000-0005-0000-0000-000079110000}"/>
    <cellStyle name="Normal 2 8 2" xfId="12940" xr:uid="{FB406378-5419-46C5-B219-0178BDE060AC}"/>
    <cellStyle name="Normal 3" xfId="323" xr:uid="{00000000-0005-0000-0000-00007A110000}"/>
    <cellStyle name="Normal 3 2" xfId="324" xr:uid="{00000000-0005-0000-0000-00007B110000}"/>
    <cellStyle name="Normal 3 2 10" xfId="8935" xr:uid="{26BCE573-DACD-445A-AB5A-CB37D84435C3}"/>
    <cellStyle name="Normal 3 2 2" xfId="325" xr:uid="{00000000-0005-0000-0000-00007C110000}"/>
    <cellStyle name="Normal 3 2 2 2" xfId="810" xr:uid="{00000000-0005-0000-0000-00007D110000}"/>
    <cellStyle name="Normal 3 2 3" xfId="326" xr:uid="{00000000-0005-0000-0000-00007E110000}"/>
    <cellStyle name="Normal 3 2 3 10" xfId="8936" xr:uid="{626DAF50-897B-4EEC-A33B-617C2C1CBBAA}"/>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7B1171EC-DB61-46F6-B482-9AF9C45AFB58}"/>
    <cellStyle name="Normal 3 2 3 2 2 2 2 3" xfId="11497" xr:uid="{393E197F-6E3B-40A8-AEE5-D8913BA276D0}"/>
    <cellStyle name="Normal 3 2 3 2 2 2 3" xfId="5128" xr:uid="{00000000-0005-0000-0000-000084110000}"/>
    <cellStyle name="Normal 3 2 3 2 2 2 3 2" xfId="13570" xr:uid="{BF9A886C-775F-4281-A3CF-4C70041FE97D}"/>
    <cellStyle name="Normal 3 2 3 2 2 2 4" xfId="9352" xr:uid="{BD6028C2-B917-45CA-82F8-C6183EE6CA2A}"/>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32B6BE6-F7BD-453E-BA66-092C9F5FB286}"/>
    <cellStyle name="Normal 3 2 3 2 2 3 2 3" xfId="11910" xr:uid="{72FDBE15-3C8E-4040-A674-32AC763D55B6}"/>
    <cellStyle name="Normal 3 2 3 2 2 3 3" xfId="5541" xr:uid="{00000000-0005-0000-0000-000088110000}"/>
    <cellStyle name="Normal 3 2 3 2 2 3 3 2" xfId="13983" xr:uid="{5174ADA7-E643-4121-80DB-81F2188ED560}"/>
    <cellStyle name="Normal 3 2 3 2 2 3 4" xfId="9765" xr:uid="{B9050F75-C917-44CF-BB1E-00BCF06ED2B5}"/>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4A23AE4D-28FC-4269-941C-C191CA20056B}"/>
    <cellStyle name="Normal 3 2 3 2 2 4 2 3" xfId="12323" xr:uid="{DD808FA5-5D13-4CAE-8FE5-9428E705B7DC}"/>
    <cellStyle name="Normal 3 2 3 2 2 4 3" xfId="5954" xr:uid="{00000000-0005-0000-0000-00008C110000}"/>
    <cellStyle name="Normal 3 2 3 2 2 4 3 2" xfId="14396" xr:uid="{37FDD02F-7FCE-4C91-BF15-363BB3AC24AA}"/>
    <cellStyle name="Normal 3 2 3 2 2 4 4" xfId="10178" xr:uid="{00327DBB-A3D8-4745-8659-CD974A1C6EEF}"/>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F989CAFC-6A48-42EE-9E42-B1589B63F30E}"/>
    <cellStyle name="Normal 3 2 3 2 2 5 2 3" xfId="12736" xr:uid="{8AD56621-15C4-4132-AEC1-24D19B573779}"/>
    <cellStyle name="Normal 3 2 3 2 2 5 3" xfId="6367" xr:uid="{00000000-0005-0000-0000-000090110000}"/>
    <cellStyle name="Normal 3 2 3 2 2 5 3 2" xfId="14809" xr:uid="{2BEFAE19-2786-4AD4-83EF-96810B32DAD4}"/>
    <cellStyle name="Normal 3 2 3 2 2 5 4" xfId="10591" xr:uid="{6BF16955-9A86-4391-A883-AA2EDE462D1D}"/>
    <cellStyle name="Normal 3 2 3 2 2 6" xfId="2496" xr:uid="{00000000-0005-0000-0000-000091110000}"/>
    <cellStyle name="Normal 3 2 3 2 2 6 2" xfId="6780" xr:uid="{00000000-0005-0000-0000-000092110000}"/>
    <cellStyle name="Normal 3 2 3 2 2 6 2 2" xfId="15222" xr:uid="{8F77C591-307F-43C5-A39E-518DF7C527D2}"/>
    <cellStyle name="Normal 3 2 3 2 2 6 3" xfId="11004" xr:uid="{B7D430EE-98EF-42A5-8388-B34673D7F68F}"/>
    <cellStyle name="Normal 3 2 3 2 2 7" xfId="4714" xr:uid="{00000000-0005-0000-0000-000093110000}"/>
    <cellStyle name="Normal 3 2 3 2 2 7 2" xfId="13156" xr:uid="{6E06D8D1-4708-42FB-8F7E-88D17BCF8555}"/>
    <cellStyle name="Normal 3 2 3 2 2 8" xfId="8938" xr:uid="{00C68D4A-57BF-4E03-A8F5-6563769F866C}"/>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24A41134-F46E-4FB7-B998-CEFEB2652A28}"/>
    <cellStyle name="Normal 3 2 3 2 3 2 3" xfId="11496" xr:uid="{CAF75B24-FE28-44D1-86A7-D7D1A7FA3AB5}"/>
    <cellStyle name="Normal 3 2 3 2 3 3" xfId="5127" xr:uid="{00000000-0005-0000-0000-000097110000}"/>
    <cellStyle name="Normal 3 2 3 2 3 3 2" xfId="13569" xr:uid="{A14D8B92-0B40-497E-BEC7-3C123D04FA58}"/>
    <cellStyle name="Normal 3 2 3 2 3 4" xfId="9351" xr:uid="{16473BDA-E42C-4AA5-9DB0-D3AA77F4125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6A60596A-0516-4A74-952B-18919BD9B1A7}"/>
    <cellStyle name="Normal 3 2 3 2 4 2 3" xfId="11909" xr:uid="{DD46E053-4955-4D0A-A0D5-A29C219B06C5}"/>
    <cellStyle name="Normal 3 2 3 2 4 3" xfId="5540" xr:uid="{00000000-0005-0000-0000-00009B110000}"/>
    <cellStyle name="Normal 3 2 3 2 4 3 2" xfId="13982" xr:uid="{D62A1A4F-8A87-49FE-8C9E-F9FC95E249DA}"/>
    <cellStyle name="Normal 3 2 3 2 4 4" xfId="9764" xr:uid="{71687AAE-2E87-4B19-BF35-0749E2BC20D7}"/>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B11FF8F-39E6-4ECC-8FEB-1EE22D5B5EB3}"/>
    <cellStyle name="Normal 3 2 3 2 5 2 3" xfId="12322" xr:uid="{08EBCB59-7ECB-43CC-B88D-9B5EAC10FB5B}"/>
    <cellStyle name="Normal 3 2 3 2 5 3" xfId="5953" xr:uid="{00000000-0005-0000-0000-00009F110000}"/>
    <cellStyle name="Normal 3 2 3 2 5 3 2" xfId="14395" xr:uid="{77F43BB3-054C-47D8-84C3-CCF6706DFA13}"/>
    <cellStyle name="Normal 3 2 3 2 5 4" xfId="10177" xr:uid="{8383009C-06FF-4F44-B9B2-29C0437AF6D7}"/>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FE4D6219-9F4C-4ACA-834A-69B7D1ED1C58}"/>
    <cellStyle name="Normal 3 2 3 2 6 2 3" xfId="12735" xr:uid="{E7787A44-A11E-43B1-A6B8-2AC4CEDABE52}"/>
    <cellStyle name="Normal 3 2 3 2 6 3" xfId="6366" xr:uid="{00000000-0005-0000-0000-0000A3110000}"/>
    <cellStyle name="Normal 3 2 3 2 6 3 2" xfId="14808" xr:uid="{AFB3A6DA-318F-4136-8468-7C63F8B055D3}"/>
    <cellStyle name="Normal 3 2 3 2 6 4" xfId="10590" xr:uid="{DB0B5DB8-9317-470F-BD11-B017A5488DAE}"/>
    <cellStyle name="Normal 3 2 3 2 7" xfId="2495" xr:uid="{00000000-0005-0000-0000-0000A4110000}"/>
    <cellStyle name="Normal 3 2 3 2 7 2" xfId="6779" xr:uid="{00000000-0005-0000-0000-0000A5110000}"/>
    <cellStyle name="Normal 3 2 3 2 7 2 2" xfId="15221" xr:uid="{AAA60E4F-157E-47B6-95BF-6376A590A8DF}"/>
    <cellStyle name="Normal 3 2 3 2 7 3" xfId="11003" xr:uid="{3C6AC551-D7C6-44D5-9526-04E3E4704F58}"/>
    <cellStyle name="Normal 3 2 3 2 8" xfId="4713" xr:uid="{00000000-0005-0000-0000-0000A6110000}"/>
    <cellStyle name="Normal 3 2 3 2 8 2" xfId="13155" xr:uid="{EEE7206D-E9D3-4E2B-8CD8-EFCC333AEB72}"/>
    <cellStyle name="Normal 3 2 3 2 9" xfId="8937" xr:uid="{61D16C69-F6EC-4B4E-8262-D100E0A259EF}"/>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3992F928-E3C9-497B-823F-3DB18575C7D4}"/>
    <cellStyle name="Normal 3 2 3 3 2 2 3" xfId="11498" xr:uid="{5D9D7563-E664-41A7-A976-2B2AEBFF030A}"/>
    <cellStyle name="Normal 3 2 3 3 2 3" xfId="5129" xr:uid="{00000000-0005-0000-0000-0000AB110000}"/>
    <cellStyle name="Normal 3 2 3 3 2 3 2" xfId="13571" xr:uid="{346128F5-54E5-4184-ACC2-B081E4FFB579}"/>
    <cellStyle name="Normal 3 2 3 3 2 4" xfId="9353" xr:uid="{ECB8645E-DC8A-4AAD-84B5-A6398FB3999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29A97AD-9690-4E1C-86F3-9AFBADE26EBC}"/>
    <cellStyle name="Normal 3 2 3 3 3 2 3" xfId="11911" xr:uid="{0E509ABC-E15F-49C9-BDFF-D51EA38BC4C3}"/>
    <cellStyle name="Normal 3 2 3 3 3 3" xfId="5542" xr:uid="{00000000-0005-0000-0000-0000AF110000}"/>
    <cellStyle name="Normal 3 2 3 3 3 3 2" xfId="13984" xr:uid="{A42C3E3F-ACE7-42C1-9612-4028EAE411A7}"/>
    <cellStyle name="Normal 3 2 3 3 3 4" xfId="9766" xr:uid="{F18FBD3D-2FF3-4BF9-91F7-1E0D79AAD976}"/>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AD005B01-006C-4E80-A477-C2C39DF5A876}"/>
    <cellStyle name="Normal 3 2 3 3 4 2 3" xfId="12324" xr:uid="{56E57AB4-193C-4179-8107-2D892DE28289}"/>
    <cellStyle name="Normal 3 2 3 3 4 3" xfId="5955" xr:uid="{00000000-0005-0000-0000-0000B3110000}"/>
    <cellStyle name="Normal 3 2 3 3 4 3 2" xfId="14397" xr:uid="{3936841C-45ED-4C7F-8F8F-C157F3FEC655}"/>
    <cellStyle name="Normal 3 2 3 3 4 4" xfId="10179" xr:uid="{C4DC081C-1B58-4BB4-BA37-057CED635EA1}"/>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C7BB2AE8-81ED-47C8-9F16-65EB9E1B54D4}"/>
    <cellStyle name="Normal 3 2 3 3 5 2 3" xfId="12737" xr:uid="{A553304B-7B76-472A-AE76-5140B627D98A}"/>
    <cellStyle name="Normal 3 2 3 3 5 3" xfId="6368" xr:uid="{00000000-0005-0000-0000-0000B7110000}"/>
    <cellStyle name="Normal 3 2 3 3 5 3 2" xfId="14810" xr:uid="{BFB5458D-B09A-4F16-BE9E-8C9BBE01FEEE}"/>
    <cellStyle name="Normal 3 2 3 3 5 4" xfId="10592" xr:uid="{920D09FF-42AD-479F-B6BB-E6418745EAFF}"/>
    <cellStyle name="Normal 3 2 3 3 6" xfId="2497" xr:uid="{00000000-0005-0000-0000-0000B8110000}"/>
    <cellStyle name="Normal 3 2 3 3 6 2" xfId="6781" xr:uid="{00000000-0005-0000-0000-0000B9110000}"/>
    <cellStyle name="Normal 3 2 3 3 6 2 2" xfId="15223" xr:uid="{899D34D5-865A-4069-80B9-87EB5BB84131}"/>
    <cellStyle name="Normal 3 2 3 3 6 3" xfId="11005" xr:uid="{E562BA29-F790-4FE4-A828-4023CF26985D}"/>
    <cellStyle name="Normal 3 2 3 3 7" xfId="4715" xr:uid="{00000000-0005-0000-0000-0000BA110000}"/>
    <cellStyle name="Normal 3 2 3 3 7 2" xfId="13157" xr:uid="{D1460804-68E6-4D29-BC67-C5C3F67CB416}"/>
    <cellStyle name="Normal 3 2 3 3 8" xfId="8939" xr:uid="{AAD68FC0-54B8-4990-B8A3-B512B7D533A6}"/>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66C1B691-25A7-4AEE-BD04-5CF5086160A3}"/>
    <cellStyle name="Normal 3 2 3 4 2 3" xfId="11495" xr:uid="{AA1DFF67-C171-4636-B41F-76D86E0D3AF1}"/>
    <cellStyle name="Normal 3 2 3 4 3" xfId="5126" xr:uid="{00000000-0005-0000-0000-0000BE110000}"/>
    <cellStyle name="Normal 3 2 3 4 3 2" xfId="13568" xr:uid="{7863A0DE-E437-411B-BB96-BB3639606346}"/>
    <cellStyle name="Normal 3 2 3 4 4" xfId="9350" xr:uid="{FC65C3BF-CA3E-4FB5-8A45-A2A03AD3FC7F}"/>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8E87882C-744F-43CD-BBBC-6BB79CD049B7}"/>
    <cellStyle name="Normal 3 2 3 5 2 3" xfId="11908" xr:uid="{0475A6E2-3081-49FB-9F81-1BAD8588FA2E}"/>
    <cellStyle name="Normal 3 2 3 5 3" xfId="5539" xr:uid="{00000000-0005-0000-0000-0000C2110000}"/>
    <cellStyle name="Normal 3 2 3 5 3 2" xfId="13981" xr:uid="{85E5AD5B-B2AC-489C-B57C-EFD965F9253A}"/>
    <cellStyle name="Normal 3 2 3 5 4" xfId="9763" xr:uid="{7FB6D0BA-596D-4CDE-BAC5-2870E35C6D04}"/>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6A1A1D47-1BB8-45BB-A55C-8C4BB3EDDF9B}"/>
    <cellStyle name="Normal 3 2 3 6 2 3" xfId="12321" xr:uid="{0BCF4C82-498B-4E94-B016-7C0B4296A7F1}"/>
    <cellStyle name="Normal 3 2 3 6 3" xfId="5952" xr:uid="{00000000-0005-0000-0000-0000C6110000}"/>
    <cellStyle name="Normal 3 2 3 6 3 2" xfId="14394" xr:uid="{DD6E90A7-8A2F-458D-BEFA-8767F33E467E}"/>
    <cellStyle name="Normal 3 2 3 6 4" xfId="10176" xr:uid="{9A9D98DF-1DF4-4C99-87A2-2655357AFF44}"/>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01F59158-9E29-485D-897E-37D3D36D4C3C}"/>
    <cellStyle name="Normal 3 2 3 7 2 3" xfId="12734" xr:uid="{64126AA5-CDDF-43BB-BB4E-62D9174ED304}"/>
    <cellStyle name="Normal 3 2 3 7 3" xfId="6365" xr:uid="{00000000-0005-0000-0000-0000CA110000}"/>
    <cellStyle name="Normal 3 2 3 7 3 2" xfId="14807" xr:uid="{F33DB60A-66FF-4D7C-A742-A46C7839F115}"/>
    <cellStyle name="Normal 3 2 3 7 4" xfId="10589" xr:uid="{19479CA5-DE11-4FFD-A0F6-99131844D6AA}"/>
    <cellStyle name="Normal 3 2 3 8" xfId="2494" xr:uid="{00000000-0005-0000-0000-0000CB110000}"/>
    <cellStyle name="Normal 3 2 3 8 2" xfId="6778" xr:uid="{00000000-0005-0000-0000-0000CC110000}"/>
    <cellStyle name="Normal 3 2 3 8 2 2" xfId="15220" xr:uid="{F43AD8FF-AF6C-4FE1-8137-26960F6624CD}"/>
    <cellStyle name="Normal 3 2 3 8 3" xfId="11002" xr:uid="{7423C2DE-FE36-4BF8-ACC5-4ABBAFAB8CBE}"/>
    <cellStyle name="Normal 3 2 3 9" xfId="4712" xr:uid="{00000000-0005-0000-0000-0000CD110000}"/>
    <cellStyle name="Normal 3 2 3 9 2" xfId="13154" xr:uid="{1224D129-0B10-46A4-9433-166A3B505F9B}"/>
    <cellStyle name="Normal 3 2 4" xfId="809" xr:uid="{00000000-0005-0000-0000-0000CE110000}"/>
    <cellStyle name="Normal 3 2 4 2" xfId="3047" xr:uid="{00000000-0005-0000-0000-0000CF110000}"/>
    <cellStyle name="Normal 3 2 4 2 2" xfId="7270" xr:uid="{00000000-0005-0000-0000-0000D0110000}"/>
    <cellStyle name="Normal 3 2 4 2 2 2" xfId="15712" xr:uid="{E71A83AD-2866-424F-BAA8-76A8C71CCF22}"/>
    <cellStyle name="Normal 3 2 4 2 3" xfId="11494" xr:uid="{18CDBBC2-79A4-4675-97A4-A2676A04036A}"/>
    <cellStyle name="Normal 3 2 4 3" xfId="5125" xr:uid="{00000000-0005-0000-0000-0000D1110000}"/>
    <cellStyle name="Normal 3 2 4 3 2" xfId="13567" xr:uid="{51F0F58D-7FB5-441F-B406-8C5D54FEC446}"/>
    <cellStyle name="Normal 3 2 4 4" xfId="9349" xr:uid="{05E4C382-FF17-4056-A8C6-501E45DF81E2}"/>
    <cellStyle name="Normal 3 2 5" xfId="1230" xr:uid="{00000000-0005-0000-0000-0000D2110000}"/>
    <cellStyle name="Normal 3 2 5 2" xfId="3460" xr:uid="{00000000-0005-0000-0000-0000D3110000}"/>
    <cellStyle name="Normal 3 2 5 2 2" xfId="7683" xr:uid="{00000000-0005-0000-0000-0000D4110000}"/>
    <cellStyle name="Normal 3 2 5 2 2 2" xfId="16125" xr:uid="{80FCA1A3-15E8-4E59-B3C6-DD48E9CB6698}"/>
    <cellStyle name="Normal 3 2 5 2 3" xfId="11907" xr:uid="{9FF97809-FA16-4ADC-9ACD-A96C375DECC9}"/>
    <cellStyle name="Normal 3 2 5 3" xfId="5538" xr:uid="{00000000-0005-0000-0000-0000D5110000}"/>
    <cellStyle name="Normal 3 2 5 3 2" xfId="13980" xr:uid="{32C2E901-4B65-49AA-B34F-16997A0E3E0C}"/>
    <cellStyle name="Normal 3 2 5 4" xfId="9762" xr:uid="{8E8D7497-34E4-48AE-916F-3CA03AE6654F}"/>
    <cellStyle name="Normal 3 2 6" xfId="1643" xr:uid="{00000000-0005-0000-0000-0000D6110000}"/>
    <cellStyle name="Normal 3 2 6 2" xfId="3873" xr:uid="{00000000-0005-0000-0000-0000D7110000}"/>
    <cellStyle name="Normal 3 2 6 2 2" xfId="8096" xr:uid="{00000000-0005-0000-0000-0000D8110000}"/>
    <cellStyle name="Normal 3 2 6 2 2 2" xfId="16538" xr:uid="{E47ABF78-377C-466E-8775-45E3203700A4}"/>
    <cellStyle name="Normal 3 2 6 2 3" xfId="12320" xr:uid="{05152FF5-DAA7-43D7-AAB5-201FF0958AD8}"/>
    <cellStyle name="Normal 3 2 6 3" xfId="5951" xr:uid="{00000000-0005-0000-0000-0000D9110000}"/>
    <cellStyle name="Normal 3 2 6 3 2" xfId="14393" xr:uid="{55F81CE8-D2E1-4926-9EF0-30A6BEDF575F}"/>
    <cellStyle name="Normal 3 2 6 4" xfId="10175" xr:uid="{9741911D-8BD8-4B18-8C4B-6479E5AF5434}"/>
    <cellStyle name="Normal 3 2 7" xfId="2057" xr:uid="{00000000-0005-0000-0000-0000DA110000}"/>
    <cellStyle name="Normal 3 2 7 2" xfId="4286" xr:uid="{00000000-0005-0000-0000-0000DB110000}"/>
    <cellStyle name="Normal 3 2 7 2 2" xfId="8509" xr:uid="{00000000-0005-0000-0000-0000DC110000}"/>
    <cellStyle name="Normal 3 2 7 2 2 2" xfId="16951" xr:uid="{2218D500-13AF-4A03-BD31-AD1E24D370A9}"/>
    <cellStyle name="Normal 3 2 7 2 3" xfId="12733" xr:uid="{1D98115C-FB91-48A5-A622-704F4A04A671}"/>
    <cellStyle name="Normal 3 2 7 3" xfId="6364" xr:uid="{00000000-0005-0000-0000-0000DD110000}"/>
    <cellStyle name="Normal 3 2 7 3 2" xfId="14806" xr:uid="{C9261D2F-8380-4A8A-A3A3-E79F6CB2554D}"/>
    <cellStyle name="Normal 3 2 7 4" xfId="10588" xr:uid="{03D01B24-6002-4047-9FD8-4273F93C1C15}"/>
    <cellStyle name="Normal 3 2 8" xfId="2493" xr:uid="{00000000-0005-0000-0000-0000DE110000}"/>
    <cellStyle name="Normal 3 2 8 2" xfId="6777" xr:uid="{00000000-0005-0000-0000-0000DF110000}"/>
    <cellStyle name="Normal 3 2 8 2 2" xfId="15219" xr:uid="{C183818E-E9FE-4F19-A91F-BF84FCB8FABC}"/>
    <cellStyle name="Normal 3 2 8 3" xfId="11001" xr:uid="{53128430-0238-408C-9170-D0268DE475BA}"/>
    <cellStyle name="Normal 3 2 9" xfId="4711" xr:uid="{00000000-0005-0000-0000-0000E0110000}"/>
    <cellStyle name="Normal 3 2 9 2" xfId="13153" xr:uid="{97A680DB-1FA3-43AD-ACD3-B1A2E4DD6AF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CB6BEEBC-8CF7-4194-ADE7-CBAF99C6366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6759C414-9AA9-4932-B46B-CC44D52BBEE5}"/>
    <cellStyle name="Normal 4 2 2 10 2 3" xfId="12738" xr:uid="{D1B004B4-166C-41CF-93AD-939A8ECE116D}"/>
    <cellStyle name="Normal 4 2 2 10 3" xfId="6369" xr:uid="{00000000-0005-0000-0000-0000ED110000}"/>
    <cellStyle name="Normal 4 2 2 10 3 2" xfId="14811" xr:uid="{3E39B573-1ECF-4191-A714-EF3B570D6732}"/>
    <cellStyle name="Normal 4 2 2 10 4" xfId="10593" xr:uid="{9CE59161-6677-40A1-A56C-77AEA313540D}"/>
    <cellStyle name="Normal 4 2 2 11" xfId="2498" xr:uid="{00000000-0005-0000-0000-0000EE110000}"/>
    <cellStyle name="Normal 4 2 2 11 2" xfId="6782" xr:uid="{00000000-0005-0000-0000-0000EF110000}"/>
    <cellStyle name="Normal 4 2 2 11 2 2" xfId="15224" xr:uid="{A30E93F7-F000-48FE-A235-CFED9366F97F}"/>
    <cellStyle name="Normal 4 2 2 11 3" xfId="11006" xr:uid="{40584D41-C253-4CEA-8D18-6581711293E5}"/>
    <cellStyle name="Normal 4 2 2 12" xfId="4717" xr:uid="{00000000-0005-0000-0000-0000F0110000}"/>
    <cellStyle name="Normal 4 2 2 12 2" xfId="13159" xr:uid="{0C391F5A-1DC4-4E9E-A521-0C14A46BD7BD}"/>
    <cellStyle name="Normal 4 2 2 13" xfId="8941" xr:uid="{6F8F15DD-98B9-4EB6-B43C-3C0613898B6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4ACD1BF9-CA2E-4871-BFB7-FA5551D79548}"/>
    <cellStyle name="Normal 4 2 2 3 11" xfId="8942" xr:uid="{4ED8BDEF-00B1-456F-8F39-357964CB35F3}"/>
    <cellStyle name="Normal 4 2 2 3 2" xfId="340" xr:uid="{00000000-0005-0000-0000-0000F4110000}"/>
    <cellStyle name="Normal 4 2 2 3 2 10" xfId="8943" xr:uid="{945A21FA-8601-4B74-93CA-130E6CBE1641}"/>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322E8876-39F3-44F3-A25A-B5FDB5E5495E}"/>
    <cellStyle name="Normal 4 2 2 3 2 2 2 2 2 3" xfId="11503" xr:uid="{1F1B70A7-9821-4CD7-90B7-A3BEC1F510A4}"/>
    <cellStyle name="Normal 4 2 2 3 2 2 2 2 3" xfId="5134" xr:uid="{00000000-0005-0000-0000-0000FA110000}"/>
    <cellStyle name="Normal 4 2 2 3 2 2 2 2 3 2" xfId="13576" xr:uid="{961F935D-941D-4BE4-92BB-D76863C4BD7C}"/>
    <cellStyle name="Normal 4 2 2 3 2 2 2 2 4" xfId="9358" xr:uid="{AE5E55D2-618D-4096-858F-38F97B3A244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CFCB8262-627F-45F1-B9A2-DF5FBA6B143C}"/>
    <cellStyle name="Normal 4 2 2 3 2 2 2 3 2 3" xfId="11916" xr:uid="{0C4FC4AD-077B-44CA-A9E7-FCE7C0DC3A52}"/>
    <cellStyle name="Normal 4 2 2 3 2 2 2 3 3" xfId="5547" xr:uid="{00000000-0005-0000-0000-0000FE110000}"/>
    <cellStyle name="Normal 4 2 2 3 2 2 2 3 3 2" xfId="13989" xr:uid="{A287E16C-1C7C-4C77-916A-45011D89DB28}"/>
    <cellStyle name="Normal 4 2 2 3 2 2 2 3 4" xfId="9771" xr:uid="{BDD24FAC-12C5-416C-92E0-FAA14493A05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2813B358-2FD1-4532-8B4F-98F091C5DD56}"/>
    <cellStyle name="Normal 4 2 2 3 2 2 2 4 2 3" xfId="12329" xr:uid="{656C2FC2-758E-48D5-8CD2-B5468CC4F9DC}"/>
    <cellStyle name="Normal 4 2 2 3 2 2 2 4 3" xfId="5960" xr:uid="{00000000-0005-0000-0000-000002120000}"/>
    <cellStyle name="Normal 4 2 2 3 2 2 2 4 3 2" xfId="14402" xr:uid="{25E8ADE5-008C-4032-94D0-EE1E44C3B20C}"/>
    <cellStyle name="Normal 4 2 2 3 2 2 2 4 4" xfId="10184" xr:uid="{1315D970-76CC-40C8-922D-E1DB4CB46935}"/>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1DFDFC98-C7F3-45C9-81C6-FC1C48A3DEA5}"/>
    <cellStyle name="Normal 4 2 2 3 2 2 2 5 2 3" xfId="12742" xr:uid="{3F428E75-4E61-4A21-B584-A9F69A31DB52}"/>
    <cellStyle name="Normal 4 2 2 3 2 2 2 5 3" xfId="6373" xr:uid="{00000000-0005-0000-0000-000006120000}"/>
    <cellStyle name="Normal 4 2 2 3 2 2 2 5 3 2" xfId="14815" xr:uid="{B0A55741-F95C-488B-9180-83CAA6D8AB87}"/>
    <cellStyle name="Normal 4 2 2 3 2 2 2 5 4" xfId="10597" xr:uid="{274BDC6D-43F0-4DA8-A6E3-EA4F5DCE065D}"/>
    <cellStyle name="Normal 4 2 2 3 2 2 2 6" xfId="2502" xr:uid="{00000000-0005-0000-0000-000007120000}"/>
    <cellStyle name="Normal 4 2 2 3 2 2 2 6 2" xfId="6786" xr:uid="{00000000-0005-0000-0000-000008120000}"/>
    <cellStyle name="Normal 4 2 2 3 2 2 2 6 2 2" xfId="15228" xr:uid="{8743A92C-B97B-408F-9BF5-722C7F9BAAAC}"/>
    <cellStyle name="Normal 4 2 2 3 2 2 2 6 3" xfId="11010" xr:uid="{3271B657-8E33-49DF-8EB0-91D61CB571D4}"/>
    <cellStyle name="Normal 4 2 2 3 2 2 2 7" xfId="4721" xr:uid="{00000000-0005-0000-0000-000009120000}"/>
    <cellStyle name="Normal 4 2 2 3 2 2 2 7 2" xfId="13163" xr:uid="{B215DF6D-8BBA-44E6-A9F9-33B07D224F01}"/>
    <cellStyle name="Normal 4 2 2 3 2 2 2 8" xfId="8945" xr:uid="{AE9F1CA5-5923-4621-AE9D-15BFDB4ACDD7}"/>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D69D005D-7F11-4ADF-B808-41590A8BF9E7}"/>
    <cellStyle name="Normal 4 2 2 3 2 2 3 2 3" xfId="11502" xr:uid="{ED67C267-8795-4394-AFBB-0A1994F8CDC0}"/>
    <cellStyle name="Normal 4 2 2 3 2 2 3 3" xfId="5133" xr:uid="{00000000-0005-0000-0000-00000D120000}"/>
    <cellStyle name="Normal 4 2 2 3 2 2 3 3 2" xfId="13575" xr:uid="{00B6FB9B-EF53-4967-9C72-C8CB5243ED1C}"/>
    <cellStyle name="Normal 4 2 2 3 2 2 3 4" xfId="9357" xr:uid="{1E9E8123-353B-4BD4-BEC8-255C1068FEA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0E4C8F28-9EEE-4C54-BAAE-A72DB1E7637E}"/>
    <cellStyle name="Normal 4 2 2 3 2 2 4 2 3" xfId="11915" xr:uid="{184F05A3-2EE0-4F4E-8052-8F3E9C14E0AC}"/>
    <cellStyle name="Normal 4 2 2 3 2 2 4 3" xfId="5546" xr:uid="{00000000-0005-0000-0000-000011120000}"/>
    <cellStyle name="Normal 4 2 2 3 2 2 4 3 2" xfId="13988" xr:uid="{1CDDE057-A1C9-46D2-9D63-7790B6350280}"/>
    <cellStyle name="Normal 4 2 2 3 2 2 4 4" xfId="9770" xr:uid="{578F8608-08A7-4D8F-972E-B1137127915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F75F3ADA-E2DB-49BA-97DD-F8F0A4CD26D6}"/>
    <cellStyle name="Normal 4 2 2 3 2 2 5 2 3" xfId="12328" xr:uid="{B0A9E396-ADBC-4A4C-B773-53EC0AA7A310}"/>
    <cellStyle name="Normal 4 2 2 3 2 2 5 3" xfId="5959" xr:uid="{00000000-0005-0000-0000-000015120000}"/>
    <cellStyle name="Normal 4 2 2 3 2 2 5 3 2" xfId="14401" xr:uid="{5FA6D845-46CD-4DEA-874A-132CFDC08517}"/>
    <cellStyle name="Normal 4 2 2 3 2 2 5 4" xfId="10183" xr:uid="{9FDEA401-C053-4624-B12B-AE83D1AC2E4D}"/>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42808814-3394-499D-AE82-7DDC7E3CB4B0}"/>
    <cellStyle name="Normal 4 2 2 3 2 2 6 2 3" xfId="12741" xr:uid="{15EE4284-0C3D-48F0-ADA2-4E4E75A8F4F0}"/>
    <cellStyle name="Normal 4 2 2 3 2 2 6 3" xfId="6372" xr:uid="{00000000-0005-0000-0000-000019120000}"/>
    <cellStyle name="Normal 4 2 2 3 2 2 6 3 2" xfId="14814" xr:uid="{64D35F08-A6B8-4E4F-A031-5AC17F582C55}"/>
    <cellStyle name="Normal 4 2 2 3 2 2 6 4" xfId="10596" xr:uid="{AC43724A-4C03-436A-A9E5-9E6157C2884C}"/>
    <cellStyle name="Normal 4 2 2 3 2 2 7" xfId="2501" xr:uid="{00000000-0005-0000-0000-00001A120000}"/>
    <cellStyle name="Normal 4 2 2 3 2 2 7 2" xfId="6785" xr:uid="{00000000-0005-0000-0000-00001B120000}"/>
    <cellStyle name="Normal 4 2 2 3 2 2 7 2 2" xfId="15227" xr:uid="{E844FCA1-0B95-4879-821C-2C72BCD7D7D9}"/>
    <cellStyle name="Normal 4 2 2 3 2 2 7 3" xfId="11009" xr:uid="{7E914C44-77EB-4838-A1D0-28C4A3A69579}"/>
    <cellStyle name="Normal 4 2 2 3 2 2 8" xfId="4720" xr:uid="{00000000-0005-0000-0000-00001C120000}"/>
    <cellStyle name="Normal 4 2 2 3 2 2 8 2" xfId="13162" xr:uid="{952AB3AE-FBC0-4F35-8263-BC5C28C30003}"/>
    <cellStyle name="Normal 4 2 2 3 2 2 9" xfId="8944" xr:uid="{B121BE1B-2F05-431A-AE72-9088E8765CB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A3D2F9C4-74C7-4216-83B1-B5A080B11350}"/>
    <cellStyle name="Normal 4 2 2 3 2 3 2 2 3" xfId="11504" xr:uid="{28C0A321-44C9-4E5D-9532-CCF3288B8BB4}"/>
    <cellStyle name="Normal 4 2 2 3 2 3 2 3" xfId="5135" xr:uid="{00000000-0005-0000-0000-000021120000}"/>
    <cellStyle name="Normal 4 2 2 3 2 3 2 3 2" xfId="13577" xr:uid="{AB57DC79-751C-4ED8-BA42-543107A0147D}"/>
    <cellStyle name="Normal 4 2 2 3 2 3 2 4" xfId="9359" xr:uid="{858C1082-A7A4-483D-BF92-CD5BD2B98663}"/>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780F2ED9-70B3-4974-84A7-8A8001A8AE9D}"/>
    <cellStyle name="Normal 4 2 2 3 2 3 3 2 3" xfId="11917" xr:uid="{CF0326BF-73C9-4BA3-B80C-3546A5E7E589}"/>
    <cellStyle name="Normal 4 2 2 3 2 3 3 3" xfId="5548" xr:uid="{00000000-0005-0000-0000-000025120000}"/>
    <cellStyle name="Normal 4 2 2 3 2 3 3 3 2" xfId="13990" xr:uid="{7E77C8B7-326A-4A5E-8FB2-EC2917AA48AA}"/>
    <cellStyle name="Normal 4 2 2 3 2 3 3 4" xfId="9772" xr:uid="{F106A849-3982-4B8A-8E46-C5B1049F70D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A78CE6E5-12F5-4A59-9985-7E7948E5C7BB}"/>
    <cellStyle name="Normal 4 2 2 3 2 3 4 2 3" xfId="12330" xr:uid="{95876C26-1772-4557-8477-E1E2D69B00A9}"/>
    <cellStyle name="Normal 4 2 2 3 2 3 4 3" xfId="5961" xr:uid="{00000000-0005-0000-0000-000029120000}"/>
    <cellStyle name="Normal 4 2 2 3 2 3 4 3 2" xfId="14403" xr:uid="{981415C0-E95B-48FD-B280-50A052F9F5A8}"/>
    <cellStyle name="Normal 4 2 2 3 2 3 4 4" xfId="10185" xr:uid="{A49B545D-A578-4E02-8A95-CEC9460CB28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A54392CF-A04D-4716-8E02-651350138C65}"/>
    <cellStyle name="Normal 4 2 2 3 2 3 5 2 3" xfId="12743" xr:uid="{E7156C30-07AF-438A-9C73-3869ABC8E569}"/>
    <cellStyle name="Normal 4 2 2 3 2 3 5 3" xfId="6374" xr:uid="{00000000-0005-0000-0000-00002D120000}"/>
    <cellStyle name="Normal 4 2 2 3 2 3 5 3 2" xfId="14816" xr:uid="{607AC174-0211-4C86-971B-EC5BE957598E}"/>
    <cellStyle name="Normal 4 2 2 3 2 3 5 4" xfId="10598" xr:uid="{2BBC9563-308D-4294-8C14-3887707AB2A4}"/>
    <cellStyle name="Normal 4 2 2 3 2 3 6" xfId="2503" xr:uid="{00000000-0005-0000-0000-00002E120000}"/>
    <cellStyle name="Normal 4 2 2 3 2 3 6 2" xfId="6787" xr:uid="{00000000-0005-0000-0000-00002F120000}"/>
    <cellStyle name="Normal 4 2 2 3 2 3 6 2 2" xfId="15229" xr:uid="{C94E2E53-5384-4317-9D67-4C5CCF42DF5D}"/>
    <cellStyle name="Normal 4 2 2 3 2 3 6 3" xfId="11011" xr:uid="{4131765E-2BA4-40E7-B07E-35799962A414}"/>
    <cellStyle name="Normal 4 2 2 3 2 3 7" xfId="4722" xr:uid="{00000000-0005-0000-0000-000030120000}"/>
    <cellStyle name="Normal 4 2 2 3 2 3 7 2" xfId="13164" xr:uid="{2C252634-F789-4C53-8300-0CE741F7726B}"/>
    <cellStyle name="Normal 4 2 2 3 2 3 8" xfId="8946" xr:uid="{9BFBD730-71B9-4486-B7C4-4331CAFC4E6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236BCAD6-C6E0-4B51-AE75-9007A307AED4}"/>
    <cellStyle name="Normal 4 2 2 3 2 4 2 3" xfId="11501" xr:uid="{A7864A1A-73F1-40DE-BCE4-F1DB711DFEB5}"/>
    <cellStyle name="Normal 4 2 2 3 2 4 3" xfId="5132" xr:uid="{00000000-0005-0000-0000-000034120000}"/>
    <cellStyle name="Normal 4 2 2 3 2 4 3 2" xfId="13574" xr:uid="{36C32DF6-BA32-45B8-8596-F4288F3A79EB}"/>
    <cellStyle name="Normal 4 2 2 3 2 4 4" xfId="9356" xr:uid="{C99D8C00-F709-453F-85A1-25B551A5A09C}"/>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539971E9-E1AA-459D-B058-C3CEB442B5CA}"/>
    <cellStyle name="Normal 4 2 2 3 2 5 2 3" xfId="11914" xr:uid="{1E950F0A-AFE6-4D73-BB85-424C5115A30E}"/>
    <cellStyle name="Normal 4 2 2 3 2 5 3" xfId="5545" xr:uid="{00000000-0005-0000-0000-000038120000}"/>
    <cellStyle name="Normal 4 2 2 3 2 5 3 2" xfId="13987" xr:uid="{14E3E2E1-62C8-4DC2-8FE8-6A7A97B212ED}"/>
    <cellStyle name="Normal 4 2 2 3 2 5 4" xfId="9769" xr:uid="{72F1EEC7-6214-4ACE-8D12-AE86720D9FA5}"/>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4EDA345C-42C4-4A68-B0AA-F71FD0396F72}"/>
    <cellStyle name="Normal 4 2 2 3 2 6 2 3" xfId="12327" xr:uid="{E9CD113C-EC7B-4A19-B40E-B6E30BA0B9FF}"/>
    <cellStyle name="Normal 4 2 2 3 2 6 3" xfId="5958" xr:uid="{00000000-0005-0000-0000-00003C120000}"/>
    <cellStyle name="Normal 4 2 2 3 2 6 3 2" xfId="14400" xr:uid="{4D7C0A21-D213-406B-8A75-4F07CF3107F7}"/>
    <cellStyle name="Normal 4 2 2 3 2 6 4" xfId="10182" xr:uid="{9A5D74A9-129A-40FD-B885-54547CA99B8F}"/>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8FA0B80D-77F4-45CC-952C-3E0AF25488DC}"/>
    <cellStyle name="Normal 4 2 2 3 2 7 2 3" xfId="12740" xr:uid="{86744C1C-F17A-4E42-B4D5-4C0284358408}"/>
    <cellStyle name="Normal 4 2 2 3 2 7 3" xfId="6371" xr:uid="{00000000-0005-0000-0000-000040120000}"/>
    <cellStyle name="Normal 4 2 2 3 2 7 3 2" xfId="14813" xr:uid="{6F3285F1-891E-4215-AFDA-8F14A76E2D99}"/>
    <cellStyle name="Normal 4 2 2 3 2 7 4" xfId="10595" xr:uid="{BEBE17F9-5DBA-42F9-9F48-65B7CFF3716A}"/>
    <cellStyle name="Normal 4 2 2 3 2 8" xfId="2500" xr:uid="{00000000-0005-0000-0000-000041120000}"/>
    <cellStyle name="Normal 4 2 2 3 2 8 2" xfId="6784" xr:uid="{00000000-0005-0000-0000-000042120000}"/>
    <cellStyle name="Normal 4 2 2 3 2 8 2 2" xfId="15226" xr:uid="{9FF1FAEB-550D-4F45-A854-C5D4B99A169C}"/>
    <cellStyle name="Normal 4 2 2 3 2 8 3" xfId="11008" xr:uid="{DAFB3387-C147-451A-B269-F43CF3EAFD8C}"/>
    <cellStyle name="Normal 4 2 2 3 2 9" xfId="4719" xr:uid="{00000000-0005-0000-0000-000043120000}"/>
    <cellStyle name="Normal 4 2 2 3 2 9 2" xfId="13161" xr:uid="{708A3738-273D-46A4-8C39-7E01A6C1A83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BD2AD794-31C3-4D64-8171-336AEC5DF2EA}"/>
    <cellStyle name="Normal 4 2 2 3 3 2 2 2 3" xfId="11506" xr:uid="{0835A003-3E21-4AA7-8A4C-2CD03AF11B23}"/>
    <cellStyle name="Normal 4 2 2 3 3 2 2 3" xfId="5137" xr:uid="{00000000-0005-0000-0000-000049120000}"/>
    <cellStyle name="Normal 4 2 2 3 3 2 2 3 2" xfId="13579" xr:uid="{357A8065-B7BD-4589-B929-D2D11B2153CB}"/>
    <cellStyle name="Normal 4 2 2 3 3 2 2 4" xfId="9361" xr:uid="{5DD8E44B-BB33-4A13-B03D-FA02F4C35D5D}"/>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F7EA249F-1218-4B47-8E4F-7FEAE10C6F8A}"/>
    <cellStyle name="Normal 4 2 2 3 3 2 3 2 3" xfId="11919" xr:uid="{EDE36425-B970-48D2-B267-1F5C95DEA6E2}"/>
    <cellStyle name="Normal 4 2 2 3 3 2 3 3" xfId="5550" xr:uid="{00000000-0005-0000-0000-00004D120000}"/>
    <cellStyle name="Normal 4 2 2 3 3 2 3 3 2" xfId="13992" xr:uid="{8BE51704-2BB2-4B6A-8EC5-E8B6C79700CE}"/>
    <cellStyle name="Normal 4 2 2 3 3 2 3 4" xfId="9774" xr:uid="{371F5BDA-CDC4-45D0-ACE1-B85EDD27C44F}"/>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6C4107B6-0ED6-4712-8E57-1623185F63C2}"/>
    <cellStyle name="Normal 4 2 2 3 3 2 4 2 3" xfId="12332" xr:uid="{3EEA4616-BA6D-4FBB-839E-712B6CD18ABB}"/>
    <cellStyle name="Normal 4 2 2 3 3 2 4 3" xfId="5963" xr:uid="{00000000-0005-0000-0000-000051120000}"/>
    <cellStyle name="Normal 4 2 2 3 3 2 4 3 2" xfId="14405" xr:uid="{C4E7BF20-0F05-43C1-94F2-83D75702A10C}"/>
    <cellStyle name="Normal 4 2 2 3 3 2 4 4" xfId="10187" xr:uid="{1400FB19-1C21-4565-815F-E0BD07D148B1}"/>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DFBAA6BF-788E-44F0-80B2-55CC5C82D9C0}"/>
    <cellStyle name="Normal 4 2 2 3 3 2 5 2 3" xfId="12745" xr:uid="{7660284C-FEFB-415D-8195-AF9978B66928}"/>
    <cellStyle name="Normal 4 2 2 3 3 2 5 3" xfId="6376" xr:uid="{00000000-0005-0000-0000-000055120000}"/>
    <cellStyle name="Normal 4 2 2 3 3 2 5 3 2" xfId="14818" xr:uid="{110185BB-C745-4915-B92C-972A9D382C9C}"/>
    <cellStyle name="Normal 4 2 2 3 3 2 5 4" xfId="10600" xr:uid="{1FF106F1-A0B4-49F4-9E48-6CA944A4F5B8}"/>
    <cellStyle name="Normal 4 2 2 3 3 2 6" xfId="2505" xr:uid="{00000000-0005-0000-0000-000056120000}"/>
    <cellStyle name="Normal 4 2 2 3 3 2 6 2" xfId="6789" xr:uid="{00000000-0005-0000-0000-000057120000}"/>
    <cellStyle name="Normal 4 2 2 3 3 2 6 2 2" xfId="15231" xr:uid="{97628512-EE54-49C2-B642-3BBA64B2C219}"/>
    <cellStyle name="Normal 4 2 2 3 3 2 6 3" xfId="11013" xr:uid="{5CBBA72C-A220-4FC0-92D7-F1F52F149DE2}"/>
    <cellStyle name="Normal 4 2 2 3 3 2 7" xfId="4724" xr:uid="{00000000-0005-0000-0000-000058120000}"/>
    <cellStyle name="Normal 4 2 2 3 3 2 7 2" xfId="13166" xr:uid="{ED6086E6-F3DC-4ABC-8DD2-E6F9785FE42C}"/>
    <cellStyle name="Normal 4 2 2 3 3 2 8" xfId="8948" xr:uid="{11C3D65E-70A7-4ACA-A95C-38277270AF08}"/>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0F8B972E-E508-4D5E-B6F9-2A4FEAAEDC7B}"/>
    <cellStyle name="Normal 4 2 2 3 3 3 2 3" xfId="11505" xr:uid="{C177A6FB-B671-4DC0-8656-F5DF5564A49B}"/>
    <cellStyle name="Normal 4 2 2 3 3 3 3" xfId="5136" xr:uid="{00000000-0005-0000-0000-00005C120000}"/>
    <cellStyle name="Normal 4 2 2 3 3 3 3 2" xfId="13578" xr:uid="{FE00113B-8B1C-44D0-A358-7449E4E824F4}"/>
    <cellStyle name="Normal 4 2 2 3 3 3 4" xfId="9360" xr:uid="{F99CBF7D-1C99-4C98-B5E9-6C5F0D64EDBB}"/>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AD030E12-04FE-49E9-8D2A-801422D09FB0}"/>
    <cellStyle name="Normal 4 2 2 3 3 4 2 3" xfId="11918" xr:uid="{0E422373-FCA4-4379-A639-AD1C7FBD7615}"/>
    <cellStyle name="Normal 4 2 2 3 3 4 3" xfId="5549" xr:uid="{00000000-0005-0000-0000-000060120000}"/>
    <cellStyle name="Normal 4 2 2 3 3 4 3 2" xfId="13991" xr:uid="{01627454-12A5-4D66-B990-BB7E2CEAD8F2}"/>
    <cellStyle name="Normal 4 2 2 3 3 4 4" xfId="9773" xr:uid="{B54094A6-38E3-4629-A8D9-B5251B0B45CD}"/>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EB108489-F7DE-4ED7-A682-04A79129C9E1}"/>
    <cellStyle name="Normal 4 2 2 3 3 5 2 3" xfId="12331" xr:uid="{CCB768D9-632A-4475-8D53-0CE6477F24A3}"/>
    <cellStyle name="Normal 4 2 2 3 3 5 3" xfId="5962" xr:uid="{00000000-0005-0000-0000-000064120000}"/>
    <cellStyle name="Normal 4 2 2 3 3 5 3 2" xfId="14404" xr:uid="{807F232A-F486-485C-A8A5-B39DC27F4164}"/>
    <cellStyle name="Normal 4 2 2 3 3 5 4" xfId="10186" xr:uid="{194F4159-69D8-4774-8713-65BB87DB8BF5}"/>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278CCE7D-88BC-498B-A140-58AE0AD456A5}"/>
    <cellStyle name="Normal 4 2 2 3 3 6 2 3" xfId="12744" xr:uid="{6E780DE7-74CA-44D9-BF67-E5D2BEDE3EC9}"/>
    <cellStyle name="Normal 4 2 2 3 3 6 3" xfId="6375" xr:uid="{00000000-0005-0000-0000-000068120000}"/>
    <cellStyle name="Normal 4 2 2 3 3 6 3 2" xfId="14817" xr:uid="{6DCF8B96-152F-430F-B53F-FDFF673F5E23}"/>
    <cellStyle name="Normal 4 2 2 3 3 6 4" xfId="10599" xr:uid="{B17EDB41-149E-44DC-A34B-E24042BBFDA2}"/>
    <cellStyle name="Normal 4 2 2 3 3 7" xfId="2504" xr:uid="{00000000-0005-0000-0000-000069120000}"/>
    <cellStyle name="Normal 4 2 2 3 3 7 2" xfId="6788" xr:uid="{00000000-0005-0000-0000-00006A120000}"/>
    <cellStyle name="Normal 4 2 2 3 3 7 2 2" xfId="15230" xr:uid="{04F66223-9676-479A-95F3-2255BF1D5A76}"/>
    <cellStyle name="Normal 4 2 2 3 3 7 3" xfId="11012" xr:uid="{9641A4E6-DCFC-4578-A7E5-8EEF3C5331B8}"/>
    <cellStyle name="Normal 4 2 2 3 3 8" xfId="4723" xr:uid="{00000000-0005-0000-0000-00006B120000}"/>
    <cellStyle name="Normal 4 2 2 3 3 8 2" xfId="13165" xr:uid="{6685D46D-1742-4A17-939A-D9375B30EC6E}"/>
    <cellStyle name="Normal 4 2 2 3 3 9" xfId="8947" xr:uid="{25C0BF6C-0102-4522-8997-3BA3476C382D}"/>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CB0091A8-B14E-4A92-A733-0E598BC0FDB8}"/>
    <cellStyle name="Normal 4 2 2 3 4 2 2 3" xfId="11507" xr:uid="{37876F6A-8D71-4F68-81F9-B983C79AE8F5}"/>
    <cellStyle name="Normal 4 2 2 3 4 2 3" xfId="5138" xr:uid="{00000000-0005-0000-0000-000070120000}"/>
    <cellStyle name="Normal 4 2 2 3 4 2 3 2" xfId="13580" xr:uid="{2A9C5227-2FC7-4608-88E4-5367A7C3086C}"/>
    <cellStyle name="Normal 4 2 2 3 4 2 4" xfId="9362" xr:uid="{204A294D-0BA9-4849-824E-E214F17FBD82}"/>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4BDDBCE3-126C-4CA1-B11D-4DDDA9F38537}"/>
    <cellStyle name="Normal 4 2 2 3 4 3 2 3" xfId="11920" xr:uid="{0AE14726-EFB2-486E-A543-05B128568D7E}"/>
    <cellStyle name="Normal 4 2 2 3 4 3 3" xfId="5551" xr:uid="{00000000-0005-0000-0000-000074120000}"/>
    <cellStyle name="Normal 4 2 2 3 4 3 3 2" xfId="13993" xr:uid="{C0F7EE9A-EEDE-4118-8D85-C38E660960FA}"/>
    <cellStyle name="Normal 4 2 2 3 4 3 4" xfId="9775" xr:uid="{007E449A-FB1A-4726-86CD-29CACC627B16}"/>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4C799F99-A627-4477-B0EA-2FD0E5CD3D83}"/>
    <cellStyle name="Normal 4 2 2 3 4 4 2 3" xfId="12333" xr:uid="{7B356157-F408-474F-ACC3-8580B921E005}"/>
    <cellStyle name="Normal 4 2 2 3 4 4 3" xfId="5964" xr:uid="{00000000-0005-0000-0000-000078120000}"/>
    <cellStyle name="Normal 4 2 2 3 4 4 3 2" xfId="14406" xr:uid="{64AD0FEF-2FE8-42C7-94F6-219865E3B226}"/>
    <cellStyle name="Normal 4 2 2 3 4 4 4" xfId="10188" xr:uid="{DEFA6F98-B4B7-451F-A88F-56949FC7B00E}"/>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6181EE64-3232-4401-A10A-658B89EEE135}"/>
    <cellStyle name="Normal 4 2 2 3 4 5 2 3" xfId="12746" xr:uid="{CE3B2EC7-5ADA-4D24-AB25-F738346B6FA7}"/>
    <cellStyle name="Normal 4 2 2 3 4 5 3" xfId="6377" xr:uid="{00000000-0005-0000-0000-00007C120000}"/>
    <cellStyle name="Normal 4 2 2 3 4 5 3 2" xfId="14819" xr:uid="{796C4A37-AE32-4434-AA2F-CA4D2B5E8B87}"/>
    <cellStyle name="Normal 4 2 2 3 4 5 4" xfId="10601" xr:uid="{2EB7C3FA-8572-47D7-93FF-B045B4E0CFB5}"/>
    <cellStyle name="Normal 4 2 2 3 4 6" xfId="2506" xr:uid="{00000000-0005-0000-0000-00007D120000}"/>
    <cellStyle name="Normal 4 2 2 3 4 6 2" xfId="6790" xr:uid="{00000000-0005-0000-0000-00007E120000}"/>
    <cellStyle name="Normal 4 2 2 3 4 6 2 2" xfId="15232" xr:uid="{4664B5C5-1878-49D6-ACBA-0C42772886FD}"/>
    <cellStyle name="Normal 4 2 2 3 4 6 3" xfId="11014" xr:uid="{709E4EE0-B016-4BA0-A0DB-7A91D0DE90CB}"/>
    <cellStyle name="Normal 4 2 2 3 4 7" xfId="4725" xr:uid="{00000000-0005-0000-0000-00007F120000}"/>
    <cellStyle name="Normal 4 2 2 3 4 7 2" xfId="13167" xr:uid="{ADE9D6BD-34DF-4D0A-9017-19B4A5BDC5ED}"/>
    <cellStyle name="Normal 4 2 2 3 4 8" xfId="8949" xr:uid="{0880BBC6-ED3D-44AC-8243-6B776EEDC516}"/>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FAA04C98-FA2C-45AD-9B94-991CFD6FFB32}"/>
    <cellStyle name="Normal 4 2 2 3 5 2 3" xfId="11500" xr:uid="{35A6CBA9-4208-493A-8E1F-2F1931287919}"/>
    <cellStyle name="Normal 4 2 2 3 5 3" xfId="5131" xr:uid="{00000000-0005-0000-0000-000083120000}"/>
    <cellStyle name="Normal 4 2 2 3 5 3 2" xfId="13573" xr:uid="{87343EE4-D471-4459-A645-AF0B368BD9A0}"/>
    <cellStyle name="Normal 4 2 2 3 5 4" xfId="9355" xr:uid="{ED399B77-AD94-4B22-A69F-214142A86794}"/>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824EC3CD-D49F-470C-B937-0252F996CAD3}"/>
    <cellStyle name="Normal 4 2 2 3 6 2 3" xfId="11913" xr:uid="{22327875-28E6-4785-8B2A-D37C8278DCCB}"/>
    <cellStyle name="Normal 4 2 2 3 6 3" xfId="5544" xr:uid="{00000000-0005-0000-0000-000087120000}"/>
    <cellStyle name="Normal 4 2 2 3 6 3 2" xfId="13986" xr:uid="{E315FF9A-17F9-465E-B7E1-8D56C31EFE5F}"/>
    <cellStyle name="Normal 4 2 2 3 6 4" xfId="9768" xr:uid="{6EEBF1C4-46B2-4C5C-B2B8-467D63B9BA2E}"/>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6BA6E2A7-9522-452C-AF73-922BC4F2F8E1}"/>
    <cellStyle name="Normal 4 2 2 3 7 2 3" xfId="12326" xr:uid="{3C30AF3C-FBF7-4F40-8703-489EB3CA929A}"/>
    <cellStyle name="Normal 4 2 2 3 7 3" xfId="5957" xr:uid="{00000000-0005-0000-0000-00008B120000}"/>
    <cellStyle name="Normal 4 2 2 3 7 3 2" xfId="14399" xr:uid="{4FFCCD63-0287-49B8-AE28-C74AE390E011}"/>
    <cellStyle name="Normal 4 2 2 3 7 4" xfId="10181" xr:uid="{CACBCB14-6235-4CC5-9AAD-4B4EA00A2646}"/>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4CEAA683-9E4B-4F9D-8538-2E40B6FFA6AE}"/>
    <cellStyle name="Normal 4 2 2 3 8 2 3" xfId="12739" xr:uid="{3F6C2CDD-B23C-48A9-B74C-83BEDE99E079}"/>
    <cellStyle name="Normal 4 2 2 3 8 3" xfId="6370" xr:uid="{00000000-0005-0000-0000-00008F120000}"/>
    <cellStyle name="Normal 4 2 2 3 8 3 2" xfId="14812" xr:uid="{ECD25496-9314-4267-AE44-DE70988AEFC1}"/>
    <cellStyle name="Normal 4 2 2 3 8 4" xfId="10594" xr:uid="{5FCB2282-C836-4708-91EE-CF4A3B52E535}"/>
    <cellStyle name="Normal 4 2 2 3 9" xfId="2499" xr:uid="{00000000-0005-0000-0000-000090120000}"/>
    <cellStyle name="Normal 4 2 2 3 9 2" xfId="6783" xr:uid="{00000000-0005-0000-0000-000091120000}"/>
    <cellStyle name="Normal 4 2 2 3 9 2 2" xfId="15225" xr:uid="{F5CF161A-9A40-4FB4-91C5-9D4B258B69E4}"/>
    <cellStyle name="Normal 4 2 2 3 9 3" xfId="11007" xr:uid="{7936218A-CF36-477E-897E-572C318EA4C7}"/>
    <cellStyle name="Normal 4 2 2 4" xfId="347" xr:uid="{00000000-0005-0000-0000-000092120000}"/>
    <cellStyle name="Normal 4 2 2 4 10" xfId="8950" xr:uid="{A2220737-546A-4207-8126-38A12DB6D0E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BDEFBC28-02C9-4BB7-A555-462B019C056E}"/>
    <cellStyle name="Normal 4 2 2 4 2 2 2 2 3" xfId="11510" xr:uid="{48F02AA1-CECC-43AD-9446-09664590DD77}"/>
    <cellStyle name="Normal 4 2 2 4 2 2 2 3" xfId="5141" xr:uid="{00000000-0005-0000-0000-000098120000}"/>
    <cellStyle name="Normal 4 2 2 4 2 2 2 3 2" xfId="13583" xr:uid="{55F29D9F-223D-4820-ABB0-4ADB15A403A9}"/>
    <cellStyle name="Normal 4 2 2 4 2 2 2 4" xfId="9365" xr:uid="{9D525919-E0D9-4528-9786-EAEB4398337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405A4A93-352D-47A4-80F3-A7ED97B76B36}"/>
    <cellStyle name="Normal 4 2 2 4 2 2 3 2 3" xfId="11923" xr:uid="{A0B4FF75-D272-4FA0-8425-91DA6ED99243}"/>
    <cellStyle name="Normal 4 2 2 4 2 2 3 3" xfId="5554" xr:uid="{00000000-0005-0000-0000-00009C120000}"/>
    <cellStyle name="Normal 4 2 2 4 2 2 3 3 2" xfId="13996" xr:uid="{15AF0CB2-0A80-4BF4-B581-0FECAB3E764A}"/>
    <cellStyle name="Normal 4 2 2 4 2 2 3 4" xfId="9778" xr:uid="{77AAE883-FEDF-49BA-BCD4-31AB256110C1}"/>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F2FCEFAF-86B1-4432-9902-43AFD77FF1A0}"/>
    <cellStyle name="Normal 4 2 2 4 2 2 4 2 3" xfId="12336" xr:uid="{CA8EAB0F-AC01-41DA-A8B4-5D1FEA10929E}"/>
    <cellStyle name="Normal 4 2 2 4 2 2 4 3" xfId="5967" xr:uid="{00000000-0005-0000-0000-0000A0120000}"/>
    <cellStyle name="Normal 4 2 2 4 2 2 4 3 2" xfId="14409" xr:uid="{7A384FF9-2C56-4A9E-A602-1A1B5533DEB4}"/>
    <cellStyle name="Normal 4 2 2 4 2 2 4 4" xfId="10191" xr:uid="{DBD3CCFD-AD43-4808-A8E6-B2471DDB1647}"/>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22B6DC1B-1352-44DA-99BE-55E8D11FEB4C}"/>
    <cellStyle name="Normal 4 2 2 4 2 2 5 2 3" xfId="12749" xr:uid="{708CFB41-20C7-42DE-875E-1AF8A06296FF}"/>
    <cellStyle name="Normal 4 2 2 4 2 2 5 3" xfId="6380" xr:uid="{00000000-0005-0000-0000-0000A4120000}"/>
    <cellStyle name="Normal 4 2 2 4 2 2 5 3 2" xfId="14822" xr:uid="{9EBBA83F-C85E-42C6-8F4D-B9721D44FB32}"/>
    <cellStyle name="Normal 4 2 2 4 2 2 5 4" xfId="10604" xr:uid="{0D70657C-B10C-41B5-BC83-DC88AAE344BD}"/>
    <cellStyle name="Normal 4 2 2 4 2 2 6" xfId="2509" xr:uid="{00000000-0005-0000-0000-0000A5120000}"/>
    <cellStyle name="Normal 4 2 2 4 2 2 6 2" xfId="6793" xr:uid="{00000000-0005-0000-0000-0000A6120000}"/>
    <cellStyle name="Normal 4 2 2 4 2 2 6 2 2" xfId="15235" xr:uid="{48EB4773-BB2B-4559-B428-DC6928B3B296}"/>
    <cellStyle name="Normal 4 2 2 4 2 2 6 3" xfId="11017" xr:uid="{C1319A19-147E-4D13-A41E-39F4E604CB2A}"/>
    <cellStyle name="Normal 4 2 2 4 2 2 7" xfId="4728" xr:uid="{00000000-0005-0000-0000-0000A7120000}"/>
    <cellStyle name="Normal 4 2 2 4 2 2 7 2" xfId="13170" xr:uid="{C4DAC452-CB57-48F9-9125-F0C4DA2E79C6}"/>
    <cellStyle name="Normal 4 2 2 4 2 2 8" xfId="8952" xr:uid="{79E0E937-5D84-4FF8-8225-61F900FBE2C6}"/>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685DA992-D8B8-481A-852E-514E540B15F1}"/>
    <cellStyle name="Normal 4 2 2 4 2 3 2 3" xfId="11509" xr:uid="{54CC5F5A-AA7E-45F4-B0CC-14C879F52A77}"/>
    <cellStyle name="Normal 4 2 2 4 2 3 3" xfId="5140" xr:uid="{00000000-0005-0000-0000-0000AB120000}"/>
    <cellStyle name="Normal 4 2 2 4 2 3 3 2" xfId="13582" xr:uid="{DEDB257B-C019-4F3C-9769-974FB39CEECD}"/>
    <cellStyle name="Normal 4 2 2 4 2 3 4" xfId="9364" xr:uid="{4FE1F131-5DAD-44C6-A1B2-CEEEAFA331B2}"/>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EC33B9E6-0B9C-4EE6-A268-142D7D480C69}"/>
    <cellStyle name="Normal 4 2 2 4 2 4 2 3" xfId="11922" xr:uid="{C1F8A409-D8F0-4D71-A9BC-63DB8681CF07}"/>
    <cellStyle name="Normal 4 2 2 4 2 4 3" xfId="5553" xr:uid="{00000000-0005-0000-0000-0000AF120000}"/>
    <cellStyle name="Normal 4 2 2 4 2 4 3 2" xfId="13995" xr:uid="{2B64B9F5-5D16-49AB-BA2F-BA97A3C986CE}"/>
    <cellStyle name="Normal 4 2 2 4 2 4 4" xfId="9777" xr:uid="{82FE0A30-A2C7-4060-8BEF-4ADCC18710F1}"/>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D1ECFA11-9274-4719-8D6E-48FEEEB9B4C8}"/>
    <cellStyle name="Normal 4 2 2 4 2 5 2 3" xfId="12335" xr:uid="{E2A37182-0377-445D-B41C-754701E2D170}"/>
    <cellStyle name="Normal 4 2 2 4 2 5 3" xfId="5966" xr:uid="{00000000-0005-0000-0000-0000B3120000}"/>
    <cellStyle name="Normal 4 2 2 4 2 5 3 2" xfId="14408" xr:uid="{BBEA6F80-522B-42DC-ABAF-AF62FF00B45B}"/>
    <cellStyle name="Normal 4 2 2 4 2 5 4" xfId="10190" xr:uid="{3EE89B9F-5991-4921-8D1F-9433A89F29DC}"/>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79E1BEEF-B1C7-45E2-B525-8B0DF9A78E55}"/>
    <cellStyle name="Normal 4 2 2 4 2 6 2 3" xfId="12748" xr:uid="{6AB4BFDF-AEB2-4E6B-8D71-AA9C29305A6B}"/>
    <cellStyle name="Normal 4 2 2 4 2 6 3" xfId="6379" xr:uid="{00000000-0005-0000-0000-0000B7120000}"/>
    <cellStyle name="Normal 4 2 2 4 2 6 3 2" xfId="14821" xr:uid="{6362021A-DC86-4F5E-8517-659CA67B47BE}"/>
    <cellStyle name="Normal 4 2 2 4 2 6 4" xfId="10603" xr:uid="{BA1C018C-9973-4BC3-B3A7-0C794A8E1A19}"/>
    <cellStyle name="Normal 4 2 2 4 2 7" xfId="2508" xr:uid="{00000000-0005-0000-0000-0000B8120000}"/>
    <cellStyle name="Normal 4 2 2 4 2 7 2" xfId="6792" xr:uid="{00000000-0005-0000-0000-0000B9120000}"/>
    <cellStyle name="Normal 4 2 2 4 2 7 2 2" xfId="15234" xr:uid="{7063DD03-5646-42E0-A0F2-7EDF77275479}"/>
    <cellStyle name="Normal 4 2 2 4 2 7 3" xfId="11016" xr:uid="{F6D06A61-E6E9-4EDE-B576-C8C22B7EBAD5}"/>
    <cellStyle name="Normal 4 2 2 4 2 8" xfId="4727" xr:uid="{00000000-0005-0000-0000-0000BA120000}"/>
    <cellStyle name="Normal 4 2 2 4 2 8 2" xfId="13169" xr:uid="{494E6C42-E6F2-4086-8EDF-65155C6AF70E}"/>
    <cellStyle name="Normal 4 2 2 4 2 9" xfId="8951" xr:uid="{8C5E9E66-0D3C-45B0-84B7-8AFADEF00CDF}"/>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4E6144C6-0453-4D43-B02E-0418FA602CCB}"/>
    <cellStyle name="Normal 4 2 2 4 3 2 2 3" xfId="11511" xr:uid="{A6AB03FD-9D2E-4C11-BAC6-AF165D529D38}"/>
    <cellStyle name="Normal 4 2 2 4 3 2 3" xfId="5142" xr:uid="{00000000-0005-0000-0000-0000BF120000}"/>
    <cellStyle name="Normal 4 2 2 4 3 2 3 2" xfId="13584" xr:uid="{B48935C9-079A-40F7-A04C-B17F137E420F}"/>
    <cellStyle name="Normal 4 2 2 4 3 2 4" xfId="9366" xr:uid="{9D947A15-BD8B-435D-9BA2-935FDFA45D6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A8FAA4B5-2965-440E-A439-391E2A9167A5}"/>
    <cellStyle name="Normal 4 2 2 4 3 3 2 3" xfId="11924" xr:uid="{50D2AD9E-0D2A-4F9B-BCF5-0F1516791853}"/>
    <cellStyle name="Normal 4 2 2 4 3 3 3" xfId="5555" xr:uid="{00000000-0005-0000-0000-0000C3120000}"/>
    <cellStyle name="Normal 4 2 2 4 3 3 3 2" xfId="13997" xr:uid="{397A19D1-2584-42B0-B4B2-4A22D16D1ED0}"/>
    <cellStyle name="Normal 4 2 2 4 3 3 4" xfId="9779" xr:uid="{0FCD1DD6-D35E-433F-8650-AB2D4F678EF5}"/>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4DC24548-DA96-4CFA-A101-141A0449D962}"/>
    <cellStyle name="Normal 4 2 2 4 3 4 2 3" xfId="12337" xr:uid="{08C3761A-FD63-41AB-A078-3DCBDC98057F}"/>
    <cellStyle name="Normal 4 2 2 4 3 4 3" xfId="5968" xr:uid="{00000000-0005-0000-0000-0000C7120000}"/>
    <cellStyle name="Normal 4 2 2 4 3 4 3 2" xfId="14410" xr:uid="{5BBEE879-5B22-469B-8E6E-89AA6BF3ADBE}"/>
    <cellStyle name="Normal 4 2 2 4 3 4 4" xfId="10192" xr:uid="{9A794DA2-A075-43D4-BD5C-D96C2648E83F}"/>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1D338761-33A4-448B-8381-80D139BB9449}"/>
    <cellStyle name="Normal 4 2 2 4 3 5 2 3" xfId="12750" xr:uid="{0D6F74E9-B072-4014-9CEB-C5F93EC1C6E6}"/>
    <cellStyle name="Normal 4 2 2 4 3 5 3" xfId="6381" xr:uid="{00000000-0005-0000-0000-0000CB120000}"/>
    <cellStyle name="Normal 4 2 2 4 3 5 3 2" xfId="14823" xr:uid="{2441F8DF-8D02-445A-A9C3-9F5D58228B81}"/>
    <cellStyle name="Normal 4 2 2 4 3 5 4" xfId="10605" xr:uid="{3EC61B63-F695-4C7F-B433-5512E61270DA}"/>
    <cellStyle name="Normal 4 2 2 4 3 6" xfId="2510" xr:uid="{00000000-0005-0000-0000-0000CC120000}"/>
    <cellStyle name="Normal 4 2 2 4 3 6 2" xfId="6794" xr:uid="{00000000-0005-0000-0000-0000CD120000}"/>
    <cellStyle name="Normal 4 2 2 4 3 6 2 2" xfId="15236" xr:uid="{3B1C265A-BB8F-420B-87B1-73C931E65E7F}"/>
    <cellStyle name="Normal 4 2 2 4 3 6 3" xfId="11018" xr:uid="{A21ECAC9-7A5D-408E-8523-204A721F8507}"/>
    <cellStyle name="Normal 4 2 2 4 3 7" xfId="4729" xr:uid="{00000000-0005-0000-0000-0000CE120000}"/>
    <cellStyle name="Normal 4 2 2 4 3 7 2" xfId="13171" xr:uid="{15340495-B04A-4968-B418-F9FCBE33D98D}"/>
    <cellStyle name="Normal 4 2 2 4 3 8" xfId="8953" xr:uid="{BB014B1A-41C7-4B07-8DDF-52F0A925EC6B}"/>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F33B790D-C5A2-4BAD-8FA8-483DBE6065F8}"/>
    <cellStyle name="Normal 4 2 2 4 4 2 3" xfId="11508" xr:uid="{EAC76B05-E66F-47FB-9C6F-61D61E3C18CF}"/>
    <cellStyle name="Normal 4 2 2 4 4 3" xfId="5139" xr:uid="{00000000-0005-0000-0000-0000D2120000}"/>
    <cellStyle name="Normal 4 2 2 4 4 3 2" xfId="13581" xr:uid="{84A444A1-EF64-4618-8DBA-DBA06CE8017F}"/>
    <cellStyle name="Normal 4 2 2 4 4 4" xfId="9363" xr:uid="{CE24D70A-9625-4C59-B34C-EBD7810EDC8A}"/>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306FA598-2FB9-4E53-BCDE-B2154DBDA89D}"/>
    <cellStyle name="Normal 4 2 2 4 5 2 3" xfId="11921" xr:uid="{B2810FD8-E628-4699-9E93-F140AFC182EA}"/>
    <cellStyle name="Normal 4 2 2 4 5 3" xfId="5552" xr:uid="{00000000-0005-0000-0000-0000D6120000}"/>
    <cellStyle name="Normal 4 2 2 4 5 3 2" xfId="13994" xr:uid="{B16C9957-F07F-4680-9516-D92E557B5A39}"/>
    <cellStyle name="Normal 4 2 2 4 5 4" xfId="9776" xr:uid="{D90B6EEE-5FED-47C2-A429-3C71652D0A06}"/>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DC5378EB-D971-4E40-B55E-7F48BF0BB710}"/>
    <cellStyle name="Normal 4 2 2 4 6 2 3" xfId="12334" xr:uid="{098B3EF7-7DCE-4EBB-9FDC-674D2D30FF74}"/>
    <cellStyle name="Normal 4 2 2 4 6 3" xfId="5965" xr:uid="{00000000-0005-0000-0000-0000DA120000}"/>
    <cellStyle name="Normal 4 2 2 4 6 3 2" xfId="14407" xr:uid="{FC83F5C1-F42D-4C0A-BC71-BE3305145467}"/>
    <cellStyle name="Normal 4 2 2 4 6 4" xfId="10189" xr:uid="{61A99B6A-9071-4A43-BE36-3945D57EBE44}"/>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BBD67A75-97CA-4690-80EE-5DD18CD15D55}"/>
    <cellStyle name="Normal 4 2 2 4 7 2 3" xfId="12747" xr:uid="{D15638A6-D6E7-4FC5-B41C-2C57F9FC858D}"/>
    <cellStyle name="Normal 4 2 2 4 7 3" xfId="6378" xr:uid="{00000000-0005-0000-0000-0000DE120000}"/>
    <cellStyle name="Normal 4 2 2 4 7 3 2" xfId="14820" xr:uid="{DD0E6B0A-6C69-441F-B4A9-15A0A1291ABF}"/>
    <cellStyle name="Normal 4 2 2 4 7 4" xfId="10602" xr:uid="{870CB1A1-6EB3-4773-AD85-251EA5B61D35}"/>
    <cellStyle name="Normal 4 2 2 4 8" xfId="2507" xr:uid="{00000000-0005-0000-0000-0000DF120000}"/>
    <cellStyle name="Normal 4 2 2 4 8 2" xfId="6791" xr:uid="{00000000-0005-0000-0000-0000E0120000}"/>
    <cellStyle name="Normal 4 2 2 4 8 2 2" xfId="15233" xr:uid="{D3E5E230-3E47-48F5-BD5E-260CB5EB13E6}"/>
    <cellStyle name="Normal 4 2 2 4 8 3" xfId="11015" xr:uid="{0F583C90-4522-4CE4-BE1E-4E2A526A76F3}"/>
    <cellStyle name="Normal 4 2 2 4 9" xfId="4726" xr:uid="{00000000-0005-0000-0000-0000E1120000}"/>
    <cellStyle name="Normal 4 2 2 4 9 2" xfId="13168" xr:uid="{BF8DA477-1D35-4CF3-8351-0C2FFA0402D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E41A0A8E-E4BE-480D-B3E3-4B01857EF00B}"/>
    <cellStyle name="Normal 4 2 2 5 2 2 2 3" xfId="11513" xr:uid="{89E968B2-3F78-4E81-8B8F-2B39515507D9}"/>
    <cellStyle name="Normal 4 2 2 5 2 2 3" xfId="5144" xr:uid="{00000000-0005-0000-0000-0000E7120000}"/>
    <cellStyle name="Normal 4 2 2 5 2 2 3 2" xfId="13586" xr:uid="{2204B03E-746D-46C3-B60E-FE027F476DB0}"/>
    <cellStyle name="Normal 4 2 2 5 2 2 4" xfId="9368" xr:uid="{A6111CB1-6746-4F6F-B7A8-8AE463893B7E}"/>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78D29B90-FE20-4BEB-85F6-420787B1A7A8}"/>
    <cellStyle name="Normal 4 2 2 5 2 3 2 3" xfId="11926" xr:uid="{298EDA4B-D01D-420B-9FDA-A2A74FC48CE7}"/>
    <cellStyle name="Normal 4 2 2 5 2 3 3" xfId="5557" xr:uid="{00000000-0005-0000-0000-0000EB120000}"/>
    <cellStyle name="Normal 4 2 2 5 2 3 3 2" xfId="13999" xr:uid="{CF8193D7-2F15-406C-9096-36967D78F602}"/>
    <cellStyle name="Normal 4 2 2 5 2 3 4" xfId="9781" xr:uid="{FEF7EE09-B051-41B4-8E0B-C3494C1F7B09}"/>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55730A56-F71E-4E94-8D20-A81E316F307A}"/>
    <cellStyle name="Normal 4 2 2 5 2 4 2 3" xfId="12339" xr:uid="{D0343ADD-4C95-4BE4-AA54-91C6E50FC7E0}"/>
    <cellStyle name="Normal 4 2 2 5 2 4 3" xfId="5970" xr:uid="{00000000-0005-0000-0000-0000EF120000}"/>
    <cellStyle name="Normal 4 2 2 5 2 4 3 2" xfId="14412" xr:uid="{B2F1AF9B-112A-4BEA-98C5-BB48A3EF3CBD}"/>
    <cellStyle name="Normal 4 2 2 5 2 4 4" xfId="10194" xr:uid="{11686751-3463-423A-91F7-4265BEC52E1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53715920-EFE8-433B-88ED-79B7E0C1459D}"/>
    <cellStyle name="Normal 4 2 2 5 2 5 2 3" xfId="12752" xr:uid="{DFA09493-7661-4FDE-986E-C6C56C34B6E9}"/>
    <cellStyle name="Normal 4 2 2 5 2 5 3" xfId="6383" xr:uid="{00000000-0005-0000-0000-0000F3120000}"/>
    <cellStyle name="Normal 4 2 2 5 2 5 3 2" xfId="14825" xr:uid="{28F8EF73-EBC7-4784-AA1B-A0234F06F6DE}"/>
    <cellStyle name="Normal 4 2 2 5 2 5 4" xfId="10607" xr:uid="{9F025E24-BCA6-429B-8190-C239BB0A8D78}"/>
    <cellStyle name="Normal 4 2 2 5 2 6" xfId="2512" xr:uid="{00000000-0005-0000-0000-0000F4120000}"/>
    <cellStyle name="Normal 4 2 2 5 2 6 2" xfId="6796" xr:uid="{00000000-0005-0000-0000-0000F5120000}"/>
    <cellStyle name="Normal 4 2 2 5 2 6 2 2" xfId="15238" xr:uid="{45B23699-4F44-4DB7-81AD-B8C648A8E3E4}"/>
    <cellStyle name="Normal 4 2 2 5 2 6 3" xfId="11020" xr:uid="{042596B6-6D9A-4D3B-93A9-78A6D5B3F9AA}"/>
    <cellStyle name="Normal 4 2 2 5 2 7" xfId="4731" xr:uid="{00000000-0005-0000-0000-0000F6120000}"/>
    <cellStyle name="Normal 4 2 2 5 2 7 2" xfId="13173" xr:uid="{C5B280BC-1E0B-41C4-BF62-43F841A2CEC1}"/>
    <cellStyle name="Normal 4 2 2 5 2 8" xfId="8955" xr:uid="{5695CD93-24C8-4017-AB5A-89E5761E0C09}"/>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E6BC4D4F-9ED0-4F84-B960-70CCE9E83E7F}"/>
    <cellStyle name="Normal 4 2 2 5 3 2 3" xfId="11512" xr:uid="{DA1F740D-3C5B-4493-A1F1-8C7947071AC3}"/>
    <cellStyle name="Normal 4 2 2 5 3 3" xfId="5143" xr:uid="{00000000-0005-0000-0000-0000FA120000}"/>
    <cellStyle name="Normal 4 2 2 5 3 3 2" xfId="13585" xr:uid="{89B2056C-FCF6-4C3F-83D1-17F5378EF3F2}"/>
    <cellStyle name="Normal 4 2 2 5 3 4" xfId="9367" xr:uid="{1C2AB6D8-FD10-499E-ACE6-4E66C4FEBFFF}"/>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5B0BAC02-304E-45BA-9CD2-A5E2352701D9}"/>
    <cellStyle name="Normal 4 2 2 5 4 2 3" xfId="11925" xr:uid="{0321CC54-7198-4B28-8554-D7879D326408}"/>
    <cellStyle name="Normal 4 2 2 5 4 3" xfId="5556" xr:uid="{00000000-0005-0000-0000-0000FE120000}"/>
    <cellStyle name="Normal 4 2 2 5 4 3 2" xfId="13998" xr:uid="{7DABAC90-DBEC-44B8-BF65-6EF4A3D17DF2}"/>
    <cellStyle name="Normal 4 2 2 5 4 4" xfId="9780" xr:uid="{A7A5C8EC-E999-45EB-8D8D-BCFCAE69E9AF}"/>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44318C15-705F-417B-A6F2-9AFCB76EE21D}"/>
    <cellStyle name="Normal 4 2 2 5 5 2 3" xfId="12338" xr:uid="{AA292EFF-D477-46A0-9CAE-8CE68E614DD4}"/>
    <cellStyle name="Normal 4 2 2 5 5 3" xfId="5969" xr:uid="{00000000-0005-0000-0000-000002130000}"/>
    <cellStyle name="Normal 4 2 2 5 5 3 2" xfId="14411" xr:uid="{14E9233C-FA9F-4C29-8219-994DDB9CFB3B}"/>
    <cellStyle name="Normal 4 2 2 5 5 4" xfId="10193" xr:uid="{84E42D3D-BC14-45F5-B5AA-6CCC0194E0E6}"/>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7933EF88-5652-4BD8-B475-229021AE7342}"/>
    <cellStyle name="Normal 4 2 2 5 6 2 3" xfId="12751" xr:uid="{B5CBB52C-AF95-4C4C-AF3B-4A691932D0B1}"/>
    <cellStyle name="Normal 4 2 2 5 6 3" xfId="6382" xr:uid="{00000000-0005-0000-0000-000006130000}"/>
    <cellStyle name="Normal 4 2 2 5 6 3 2" xfId="14824" xr:uid="{460D351F-81D8-44ED-9B0B-3864B7034EC9}"/>
    <cellStyle name="Normal 4 2 2 5 6 4" xfId="10606" xr:uid="{0F950816-7990-4724-B8B5-7A22AAE3EA93}"/>
    <cellStyle name="Normal 4 2 2 5 7" xfId="2511" xr:uid="{00000000-0005-0000-0000-000007130000}"/>
    <cellStyle name="Normal 4 2 2 5 7 2" xfId="6795" xr:uid="{00000000-0005-0000-0000-000008130000}"/>
    <cellStyle name="Normal 4 2 2 5 7 2 2" xfId="15237" xr:uid="{0A332B18-75FE-4210-887B-B5003DEF6203}"/>
    <cellStyle name="Normal 4 2 2 5 7 3" xfId="11019" xr:uid="{E6F7FC6B-AFEF-4CA1-9A59-1E972A8AE551}"/>
    <cellStyle name="Normal 4 2 2 5 8" xfId="4730" xr:uid="{00000000-0005-0000-0000-000009130000}"/>
    <cellStyle name="Normal 4 2 2 5 8 2" xfId="13172" xr:uid="{65BE52A7-09D8-4A6A-9971-33DB396AE036}"/>
    <cellStyle name="Normal 4 2 2 5 9" xfId="8954" xr:uid="{3E4A9469-08C9-480F-8E10-8EB8090F812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7759F5DF-5078-400B-8C45-B046CCA55AA6}"/>
    <cellStyle name="Normal 4 2 2 6 2 2 3" xfId="11514" xr:uid="{4A3D470D-EDE4-42DD-8111-A504BB5D1094}"/>
    <cellStyle name="Normal 4 2 2 6 2 3" xfId="5145" xr:uid="{00000000-0005-0000-0000-00000E130000}"/>
    <cellStyle name="Normal 4 2 2 6 2 3 2" xfId="13587" xr:uid="{DF432D28-033B-4101-B181-5F4B9EABD99F}"/>
    <cellStyle name="Normal 4 2 2 6 2 4" xfId="9369" xr:uid="{D8927DEA-2EFA-4477-9972-C10348BEE7EB}"/>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4E76031E-9897-4CAC-90C7-73FAA2B8E7C0}"/>
    <cellStyle name="Normal 4 2 2 6 3 2 3" xfId="11927" xr:uid="{1E8BAF4C-CF9E-4E79-B97E-A444E9F58777}"/>
    <cellStyle name="Normal 4 2 2 6 3 3" xfId="5558" xr:uid="{00000000-0005-0000-0000-000012130000}"/>
    <cellStyle name="Normal 4 2 2 6 3 3 2" xfId="14000" xr:uid="{94B0105A-2925-4F0B-ACFA-092FC93CD22A}"/>
    <cellStyle name="Normal 4 2 2 6 3 4" xfId="9782" xr:uid="{40F2E87F-DD9D-4F4B-990F-0B8AD1059C42}"/>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1BDF48D7-753D-41FF-A1B9-093225047984}"/>
    <cellStyle name="Normal 4 2 2 6 4 2 3" xfId="12340" xr:uid="{9121E70E-40A7-47C3-8D1D-4DDEA8F4FE26}"/>
    <cellStyle name="Normal 4 2 2 6 4 3" xfId="5971" xr:uid="{00000000-0005-0000-0000-000016130000}"/>
    <cellStyle name="Normal 4 2 2 6 4 3 2" xfId="14413" xr:uid="{897A9324-25EC-4CDB-A6EE-143419FA2E81}"/>
    <cellStyle name="Normal 4 2 2 6 4 4" xfId="10195" xr:uid="{7DB8BCB7-F73E-4D32-8C6C-E78DFF6A5D8A}"/>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9ABEF20-7466-46A5-8F84-E4B93E8CE3C9}"/>
    <cellStyle name="Normal 4 2 2 6 5 2 3" xfId="12753" xr:uid="{D3339D9A-AA49-425D-A672-E04565B9866A}"/>
    <cellStyle name="Normal 4 2 2 6 5 3" xfId="6384" xr:uid="{00000000-0005-0000-0000-00001A130000}"/>
    <cellStyle name="Normal 4 2 2 6 5 3 2" xfId="14826" xr:uid="{802365B0-78C8-462D-AB9B-48781993A591}"/>
    <cellStyle name="Normal 4 2 2 6 5 4" xfId="10608" xr:uid="{BA6D2284-92CD-4CEC-B183-C57B4EA0D9AF}"/>
    <cellStyle name="Normal 4 2 2 6 6" xfId="2513" xr:uid="{00000000-0005-0000-0000-00001B130000}"/>
    <cellStyle name="Normal 4 2 2 6 6 2" xfId="6797" xr:uid="{00000000-0005-0000-0000-00001C130000}"/>
    <cellStyle name="Normal 4 2 2 6 6 2 2" xfId="15239" xr:uid="{EF225561-B48E-453A-A529-7C2F78566923}"/>
    <cellStyle name="Normal 4 2 2 6 6 3" xfId="11021" xr:uid="{44AEA698-8C76-46F0-B958-6514B49D61D8}"/>
    <cellStyle name="Normal 4 2 2 6 7" xfId="4732" xr:uid="{00000000-0005-0000-0000-00001D130000}"/>
    <cellStyle name="Normal 4 2 2 6 7 2" xfId="13174" xr:uid="{91176ED0-1CFE-46AE-A7A4-EFE1E260F9A5}"/>
    <cellStyle name="Normal 4 2 2 6 8" xfId="8956" xr:uid="{0B086764-F1E9-4DF1-8AFF-45F03F601BF8}"/>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5BA156EC-C6D3-467A-BFB4-247C97637B36}"/>
    <cellStyle name="Normal 4 2 2 7 2 3" xfId="11499" xr:uid="{8961F3C2-B5E4-4190-AE0C-2442A867DAD4}"/>
    <cellStyle name="Normal 4 2 2 7 3" xfId="5130" xr:uid="{00000000-0005-0000-0000-000021130000}"/>
    <cellStyle name="Normal 4 2 2 7 3 2" xfId="13572" xr:uid="{221EBC39-5ECB-479E-A8B4-D3BE7A378C8E}"/>
    <cellStyle name="Normal 4 2 2 7 4" xfId="9354" xr:uid="{AAF80BD4-37D7-457E-B0C6-F29DCC92E9D5}"/>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AD98B673-8440-4783-AD3E-392CB6575480}"/>
    <cellStyle name="Normal 4 2 2 8 2 3" xfId="11912" xr:uid="{69EE62A2-8EC9-4F67-BA8C-E9533BB36E0F}"/>
    <cellStyle name="Normal 4 2 2 8 3" xfId="5543" xr:uid="{00000000-0005-0000-0000-000025130000}"/>
    <cellStyle name="Normal 4 2 2 8 3 2" xfId="13985" xr:uid="{72753E5E-677E-40DE-BF6E-1F6F0E6A1F05}"/>
    <cellStyle name="Normal 4 2 2 8 4" xfId="9767" xr:uid="{C64E2F84-0938-40CD-955E-45D0AECE5740}"/>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30755489-F1A9-42C2-BB33-300D6B3CE505}"/>
    <cellStyle name="Normal 4 2 2 9 2 3" xfId="12325" xr:uid="{946FABDE-83E9-4B98-8422-8FC842FEAADE}"/>
    <cellStyle name="Normal 4 2 2 9 3" xfId="5956" xr:uid="{00000000-0005-0000-0000-000029130000}"/>
    <cellStyle name="Normal 4 2 2 9 3 2" xfId="14398" xr:uid="{724C23FE-5DC1-4D8B-8833-B70C8BBC59B2}"/>
    <cellStyle name="Normal 4 2 2 9 4" xfId="10180" xr:uid="{2215895C-4955-4E24-AD66-FE4ED1ACFD76}"/>
    <cellStyle name="Normal 4 2 3" xfId="354" xr:uid="{00000000-0005-0000-0000-00002A130000}"/>
    <cellStyle name="Normal 4 2 4" xfId="355" xr:uid="{00000000-0005-0000-0000-00002B130000}"/>
    <cellStyle name="Normal 4 2 4 10" xfId="4733" xr:uid="{00000000-0005-0000-0000-00002C130000}"/>
    <cellStyle name="Normal 4 2 4 10 2" xfId="13175" xr:uid="{768A68D1-B63C-44FA-ACE4-363779F6829A}"/>
    <cellStyle name="Normal 4 2 4 11" xfId="8957" xr:uid="{BBAEE232-DFC4-481B-99DA-1AB89BA8A7CC}"/>
    <cellStyle name="Normal 4 2 4 2" xfId="356" xr:uid="{00000000-0005-0000-0000-00002D130000}"/>
    <cellStyle name="Normal 4 2 4 2 10" xfId="8958" xr:uid="{56CEF79D-7BF6-4B49-856F-85174A45BF63}"/>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1A887B8C-48DD-4813-AABC-577DF9ED8ACA}"/>
    <cellStyle name="Normal 4 2 4 2 2 2 2 2 3" xfId="11518" xr:uid="{8077D660-3E08-4E5A-82CC-81D11875F66A}"/>
    <cellStyle name="Normal 4 2 4 2 2 2 2 3" xfId="5149" xr:uid="{00000000-0005-0000-0000-000033130000}"/>
    <cellStyle name="Normal 4 2 4 2 2 2 2 3 2" xfId="13591" xr:uid="{9DAC2BF8-B636-4E92-B784-7AEA0A909DFB}"/>
    <cellStyle name="Normal 4 2 4 2 2 2 2 4" xfId="9373" xr:uid="{57EDC666-22EA-4CC7-8325-B273FA4F65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53A9C11A-5FEA-4086-AA3D-46A4FF3CD331}"/>
    <cellStyle name="Normal 4 2 4 2 2 2 3 2 3" xfId="11931" xr:uid="{F9DBBFA9-B53D-497E-9B17-3349DE58DAB8}"/>
    <cellStyle name="Normal 4 2 4 2 2 2 3 3" xfId="5562" xr:uid="{00000000-0005-0000-0000-000037130000}"/>
    <cellStyle name="Normal 4 2 4 2 2 2 3 3 2" xfId="14004" xr:uid="{5E977661-1823-44BB-B184-98AEBB0B670F}"/>
    <cellStyle name="Normal 4 2 4 2 2 2 3 4" xfId="9786" xr:uid="{94C8D7A6-B9BA-46EB-ACCC-0DBF58EFB285}"/>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3870F3E4-9FD2-4344-BB82-22E6A0311071}"/>
    <cellStyle name="Normal 4 2 4 2 2 2 4 2 3" xfId="12344" xr:uid="{AD34C71D-7ED7-436F-8CDA-AFBEE11419A8}"/>
    <cellStyle name="Normal 4 2 4 2 2 2 4 3" xfId="5975" xr:uid="{00000000-0005-0000-0000-00003B130000}"/>
    <cellStyle name="Normal 4 2 4 2 2 2 4 3 2" xfId="14417" xr:uid="{EF910975-F8CA-448A-B45C-00BCD33EFC79}"/>
    <cellStyle name="Normal 4 2 4 2 2 2 4 4" xfId="10199" xr:uid="{ABB81256-B20D-4044-9550-22BC9C29C801}"/>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E1693672-6CD6-4A9F-A299-DD3895F9D9CA}"/>
    <cellStyle name="Normal 4 2 4 2 2 2 5 2 3" xfId="12757" xr:uid="{0CC3569F-FBE0-4413-86AD-08A9C1F273A4}"/>
    <cellStyle name="Normal 4 2 4 2 2 2 5 3" xfId="6388" xr:uid="{00000000-0005-0000-0000-00003F130000}"/>
    <cellStyle name="Normal 4 2 4 2 2 2 5 3 2" xfId="14830" xr:uid="{252C7A02-0C40-4342-8399-29C976401A2E}"/>
    <cellStyle name="Normal 4 2 4 2 2 2 5 4" xfId="10612" xr:uid="{D2BAF386-402E-401A-841F-35B9C6778A68}"/>
    <cellStyle name="Normal 4 2 4 2 2 2 6" xfId="2517" xr:uid="{00000000-0005-0000-0000-000040130000}"/>
    <cellStyle name="Normal 4 2 4 2 2 2 6 2" xfId="6801" xr:uid="{00000000-0005-0000-0000-000041130000}"/>
    <cellStyle name="Normal 4 2 4 2 2 2 6 2 2" xfId="15243" xr:uid="{2EE950FC-EC3F-40A0-A0B9-FF1859D573AC}"/>
    <cellStyle name="Normal 4 2 4 2 2 2 6 3" xfId="11025" xr:uid="{94378C05-06FF-4BA6-B8CD-5E8AB08CEB21}"/>
    <cellStyle name="Normal 4 2 4 2 2 2 7" xfId="4736" xr:uid="{00000000-0005-0000-0000-000042130000}"/>
    <cellStyle name="Normal 4 2 4 2 2 2 7 2" xfId="13178" xr:uid="{A9F62CEF-5046-4BD5-818D-CE3F4D44ECE8}"/>
    <cellStyle name="Normal 4 2 4 2 2 2 8" xfId="8960" xr:uid="{29E6F16B-71F7-4FCD-8233-75379494BED6}"/>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794300FC-58F9-4981-91E1-A621ECB35451}"/>
    <cellStyle name="Normal 4 2 4 2 2 3 2 3" xfId="11517" xr:uid="{25BBC58A-F5A9-438A-AAC8-593B9E6BA0AD}"/>
    <cellStyle name="Normal 4 2 4 2 2 3 3" xfId="5148" xr:uid="{00000000-0005-0000-0000-000046130000}"/>
    <cellStyle name="Normal 4 2 4 2 2 3 3 2" xfId="13590" xr:uid="{7070BA5B-96CA-42E9-824D-FB326779F752}"/>
    <cellStyle name="Normal 4 2 4 2 2 3 4" xfId="9372" xr:uid="{39F8570C-CF00-4F1B-B27A-1F098B7A5439}"/>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C46004BF-A708-4BE7-91D4-A1F45D1913C0}"/>
    <cellStyle name="Normal 4 2 4 2 2 4 2 3" xfId="11930" xr:uid="{F92B68D8-7F49-4FDF-B3DA-ED278527A2EB}"/>
    <cellStyle name="Normal 4 2 4 2 2 4 3" xfId="5561" xr:uid="{00000000-0005-0000-0000-00004A130000}"/>
    <cellStyle name="Normal 4 2 4 2 2 4 3 2" xfId="14003" xr:uid="{B1F35D66-0160-4BE4-B8BF-B4141E8550AB}"/>
    <cellStyle name="Normal 4 2 4 2 2 4 4" xfId="9785" xr:uid="{4794824B-BBD8-489A-B5DE-CA8DED971055}"/>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CE6BAAB1-9EFC-4C23-90BE-DB1B598C2B33}"/>
    <cellStyle name="Normal 4 2 4 2 2 5 2 3" xfId="12343" xr:uid="{B776DB21-1E24-4C76-B660-364732A0CC3B}"/>
    <cellStyle name="Normal 4 2 4 2 2 5 3" xfId="5974" xr:uid="{00000000-0005-0000-0000-00004E130000}"/>
    <cellStyle name="Normal 4 2 4 2 2 5 3 2" xfId="14416" xr:uid="{BB9800CF-3A15-4927-88E4-7116E64AA938}"/>
    <cellStyle name="Normal 4 2 4 2 2 5 4" xfId="10198" xr:uid="{456E83C9-2A59-46BD-9B9B-F4A30E69A04C}"/>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8503B916-2E55-4D43-8F19-D481BFF25F42}"/>
    <cellStyle name="Normal 4 2 4 2 2 6 2 3" xfId="12756" xr:uid="{7DE18663-D1AC-4546-8EE7-B12928D728DA}"/>
    <cellStyle name="Normal 4 2 4 2 2 6 3" xfId="6387" xr:uid="{00000000-0005-0000-0000-000052130000}"/>
    <cellStyle name="Normal 4 2 4 2 2 6 3 2" xfId="14829" xr:uid="{196A8309-A03B-4BB0-8B8B-8532D8CA3F56}"/>
    <cellStyle name="Normal 4 2 4 2 2 6 4" xfId="10611" xr:uid="{74F62689-1007-4D87-A456-9AEE344EE5BA}"/>
    <cellStyle name="Normal 4 2 4 2 2 7" xfId="2516" xr:uid="{00000000-0005-0000-0000-000053130000}"/>
    <cellStyle name="Normal 4 2 4 2 2 7 2" xfId="6800" xr:uid="{00000000-0005-0000-0000-000054130000}"/>
    <cellStyle name="Normal 4 2 4 2 2 7 2 2" xfId="15242" xr:uid="{006D50E0-1C0B-4E25-A7E8-8A83272FBBC0}"/>
    <cellStyle name="Normal 4 2 4 2 2 7 3" xfId="11024" xr:uid="{C1B495E2-337C-4DFB-95B7-43371A5401AF}"/>
    <cellStyle name="Normal 4 2 4 2 2 8" xfId="4735" xr:uid="{00000000-0005-0000-0000-000055130000}"/>
    <cellStyle name="Normal 4 2 4 2 2 8 2" xfId="13177" xr:uid="{B4B9DFCB-128F-4A85-9D10-54A469F8D9CC}"/>
    <cellStyle name="Normal 4 2 4 2 2 9" xfId="8959" xr:uid="{1ADCD1C1-E321-45EE-A48C-F4C821EF1AD5}"/>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8D8F414D-6B8D-456E-861B-8867760D57EC}"/>
    <cellStyle name="Normal 4 2 4 2 3 2 2 3" xfId="11519" xr:uid="{3C6738D8-EE6D-437A-88BA-F3A8617ABD8C}"/>
    <cellStyle name="Normal 4 2 4 2 3 2 3" xfId="5150" xr:uid="{00000000-0005-0000-0000-00005A130000}"/>
    <cellStyle name="Normal 4 2 4 2 3 2 3 2" xfId="13592" xr:uid="{C5D5AC00-B920-453B-A9CB-8F24C8859646}"/>
    <cellStyle name="Normal 4 2 4 2 3 2 4" xfId="9374" xr:uid="{DF3743E6-72AC-42AF-BBAC-9D071F11529A}"/>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41788122-B444-40E6-8916-9EC80F5A6164}"/>
    <cellStyle name="Normal 4 2 4 2 3 3 2 3" xfId="11932" xr:uid="{FBD03AF8-5BDB-4035-9C82-4D3462F18B3F}"/>
    <cellStyle name="Normal 4 2 4 2 3 3 3" xfId="5563" xr:uid="{00000000-0005-0000-0000-00005E130000}"/>
    <cellStyle name="Normal 4 2 4 2 3 3 3 2" xfId="14005" xr:uid="{6720B5D4-D161-434A-949D-8F8EAA955CE7}"/>
    <cellStyle name="Normal 4 2 4 2 3 3 4" xfId="9787" xr:uid="{AB8E61C0-5E9A-43D0-8F7D-4CA51FC0742D}"/>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D6BB39EC-1E1E-4A0B-8378-A65163CCAE55}"/>
    <cellStyle name="Normal 4 2 4 2 3 4 2 3" xfId="12345" xr:uid="{446F1EDA-3BE0-4D64-A083-93451AC9F666}"/>
    <cellStyle name="Normal 4 2 4 2 3 4 3" xfId="5976" xr:uid="{00000000-0005-0000-0000-000062130000}"/>
    <cellStyle name="Normal 4 2 4 2 3 4 3 2" xfId="14418" xr:uid="{6FF4B3FA-3985-4A2C-ABA9-6AF3323B0F16}"/>
    <cellStyle name="Normal 4 2 4 2 3 4 4" xfId="10200" xr:uid="{1157A8D8-18B1-4765-ACA5-4C1059FE293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1CEFA6F2-1AB1-4559-9D09-3BE842877494}"/>
    <cellStyle name="Normal 4 2 4 2 3 5 2 3" xfId="12758" xr:uid="{1668B73B-2785-43D2-B634-2FB6E0DF4C69}"/>
    <cellStyle name="Normal 4 2 4 2 3 5 3" xfId="6389" xr:uid="{00000000-0005-0000-0000-000066130000}"/>
    <cellStyle name="Normal 4 2 4 2 3 5 3 2" xfId="14831" xr:uid="{FE4AC35C-15F7-41A0-97DD-FCD08C8EF825}"/>
    <cellStyle name="Normal 4 2 4 2 3 5 4" xfId="10613" xr:uid="{054A2F7A-265E-4248-AF5E-51D9B150EFE6}"/>
    <cellStyle name="Normal 4 2 4 2 3 6" xfId="2518" xr:uid="{00000000-0005-0000-0000-000067130000}"/>
    <cellStyle name="Normal 4 2 4 2 3 6 2" xfId="6802" xr:uid="{00000000-0005-0000-0000-000068130000}"/>
    <cellStyle name="Normal 4 2 4 2 3 6 2 2" xfId="15244" xr:uid="{3E96BE25-4F77-493B-916A-D05DD85E2774}"/>
    <cellStyle name="Normal 4 2 4 2 3 6 3" xfId="11026" xr:uid="{5BE72B19-A4DF-4993-B3F1-842CDFF5F77F}"/>
    <cellStyle name="Normal 4 2 4 2 3 7" xfId="4737" xr:uid="{00000000-0005-0000-0000-000069130000}"/>
    <cellStyle name="Normal 4 2 4 2 3 7 2" xfId="13179" xr:uid="{923D5641-7075-4075-AB33-5B9AB1025268}"/>
    <cellStyle name="Normal 4 2 4 2 3 8" xfId="8961" xr:uid="{30EDD3A3-11ED-46D3-98EB-1810CBDBAAA4}"/>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39DE4784-C1A2-427C-B41B-36050574133D}"/>
    <cellStyle name="Normal 4 2 4 2 4 2 3" xfId="11516" xr:uid="{E72DEF04-9DFB-4F55-9ACF-00A77AF8FC5A}"/>
    <cellStyle name="Normal 4 2 4 2 4 3" xfId="5147" xr:uid="{00000000-0005-0000-0000-00006D130000}"/>
    <cellStyle name="Normal 4 2 4 2 4 3 2" xfId="13589" xr:uid="{490820F6-6D65-4C62-9044-9626E8BBF1C1}"/>
    <cellStyle name="Normal 4 2 4 2 4 4" xfId="9371" xr:uid="{BCC67584-AA25-496F-A46A-160E50541C5B}"/>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3212C641-384B-4D9E-A41E-AE0CBA53E12E}"/>
    <cellStyle name="Normal 4 2 4 2 5 2 3" xfId="11929" xr:uid="{EDBB1A44-EEE1-412D-8E8A-55C48126C46C}"/>
    <cellStyle name="Normal 4 2 4 2 5 3" xfId="5560" xr:uid="{00000000-0005-0000-0000-000071130000}"/>
    <cellStyle name="Normal 4 2 4 2 5 3 2" xfId="14002" xr:uid="{819B3304-5A88-4AD1-91DA-90B94CAEFC50}"/>
    <cellStyle name="Normal 4 2 4 2 5 4" xfId="9784" xr:uid="{764708AD-895C-481C-9AB9-6284BDE6741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FFD4A1A9-FB9F-4C2E-9681-FC24472C91CA}"/>
    <cellStyle name="Normal 4 2 4 2 6 2 3" xfId="12342" xr:uid="{7DBFE1E8-C310-4426-9A19-7D69BC3D7EFF}"/>
    <cellStyle name="Normal 4 2 4 2 6 3" xfId="5973" xr:uid="{00000000-0005-0000-0000-000075130000}"/>
    <cellStyle name="Normal 4 2 4 2 6 3 2" xfId="14415" xr:uid="{A79C68F0-5A0F-45F9-BB72-6C3F775754B3}"/>
    <cellStyle name="Normal 4 2 4 2 6 4" xfId="10197" xr:uid="{4AB30C6A-E58F-4BAC-8B2C-48041274D0A5}"/>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19B3DCE9-1FEF-4B1E-9987-8261F899950A}"/>
    <cellStyle name="Normal 4 2 4 2 7 2 3" xfId="12755" xr:uid="{1B2D2545-6919-4924-9483-6C197AAE7D1E}"/>
    <cellStyle name="Normal 4 2 4 2 7 3" xfId="6386" xr:uid="{00000000-0005-0000-0000-000079130000}"/>
    <cellStyle name="Normal 4 2 4 2 7 3 2" xfId="14828" xr:uid="{4F305D1D-DCA3-4A5E-85B9-A1EAE876ECA0}"/>
    <cellStyle name="Normal 4 2 4 2 7 4" xfId="10610" xr:uid="{573E1628-0135-4895-B1B0-AF82E9895642}"/>
    <cellStyle name="Normal 4 2 4 2 8" xfId="2515" xr:uid="{00000000-0005-0000-0000-00007A130000}"/>
    <cellStyle name="Normal 4 2 4 2 8 2" xfId="6799" xr:uid="{00000000-0005-0000-0000-00007B130000}"/>
    <cellStyle name="Normal 4 2 4 2 8 2 2" xfId="15241" xr:uid="{2A9225A7-E730-48D1-A7BC-989A655AB1CA}"/>
    <cellStyle name="Normal 4 2 4 2 8 3" xfId="11023" xr:uid="{5D8C75CB-0591-4FEB-AAFA-14AE1E9BB031}"/>
    <cellStyle name="Normal 4 2 4 2 9" xfId="4734" xr:uid="{00000000-0005-0000-0000-00007C130000}"/>
    <cellStyle name="Normal 4 2 4 2 9 2" xfId="13176" xr:uid="{73C7A4D2-78BE-47F0-A20C-3B75720B1BA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7740034A-5091-4E29-8C60-57E4606A8B19}"/>
    <cellStyle name="Normal 4 2 4 3 2 2 2 3" xfId="11521" xr:uid="{0EC11CF0-45E4-4A60-AFC1-B5E7850F4C8D}"/>
    <cellStyle name="Normal 4 2 4 3 2 2 3" xfId="5152" xr:uid="{00000000-0005-0000-0000-000082130000}"/>
    <cellStyle name="Normal 4 2 4 3 2 2 3 2" xfId="13594" xr:uid="{2284287D-A543-439A-81F6-E5E0F1F6E4AA}"/>
    <cellStyle name="Normal 4 2 4 3 2 2 4" xfId="9376" xr:uid="{DC73FB42-B9D7-47A3-940A-F2EA9A032F9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8A0E89E9-DE6C-4037-9533-ACCB85EEE263}"/>
    <cellStyle name="Normal 4 2 4 3 2 3 2 3" xfId="11934" xr:uid="{A728A19C-0060-4F22-A35D-6E0F5BDA5FA3}"/>
    <cellStyle name="Normal 4 2 4 3 2 3 3" xfId="5565" xr:uid="{00000000-0005-0000-0000-000086130000}"/>
    <cellStyle name="Normal 4 2 4 3 2 3 3 2" xfId="14007" xr:uid="{43681901-55A4-4069-A357-18866ECA4168}"/>
    <cellStyle name="Normal 4 2 4 3 2 3 4" xfId="9789" xr:uid="{FB5B0099-9E44-42DB-B1C4-7F6336A5869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ACD55845-CD92-499A-994B-0786826A6762}"/>
    <cellStyle name="Normal 4 2 4 3 2 4 2 3" xfId="12347" xr:uid="{0941B5D7-4C90-42B3-8CA9-10370F613269}"/>
    <cellStyle name="Normal 4 2 4 3 2 4 3" xfId="5978" xr:uid="{00000000-0005-0000-0000-00008A130000}"/>
    <cellStyle name="Normal 4 2 4 3 2 4 3 2" xfId="14420" xr:uid="{26BF48A5-BEE8-4F06-8FF2-714755117E61}"/>
    <cellStyle name="Normal 4 2 4 3 2 4 4" xfId="10202" xr:uid="{55809EA6-9C91-407B-98FC-FECBEB6D7C96}"/>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72C8DB63-FD2A-417D-BF5D-23001F54F123}"/>
    <cellStyle name="Normal 4 2 4 3 2 5 2 3" xfId="12760" xr:uid="{66191FFA-5CF2-4F99-969E-A1EE3B2111E5}"/>
    <cellStyle name="Normal 4 2 4 3 2 5 3" xfId="6391" xr:uid="{00000000-0005-0000-0000-00008E130000}"/>
    <cellStyle name="Normal 4 2 4 3 2 5 3 2" xfId="14833" xr:uid="{A1BFB1BE-8472-4394-863E-7FBC882BFC35}"/>
    <cellStyle name="Normal 4 2 4 3 2 5 4" xfId="10615" xr:uid="{34F27509-995C-494D-9154-8F3A1F59479D}"/>
    <cellStyle name="Normal 4 2 4 3 2 6" xfId="2520" xr:uid="{00000000-0005-0000-0000-00008F130000}"/>
    <cellStyle name="Normal 4 2 4 3 2 6 2" xfId="6804" xr:uid="{00000000-0005-0000-0000-000090130000}"/>
    <cellStyle name="Normal 4 2 4 3 2 6 2 2" xfId="15246" xr:uid="{763CF35E-2D4F-4128-B712-85776ADE9F43}"/>
    <cellStyle name="Normal 4 2 4 3 2 6 3" xfId="11028" xr:uid="{AFD99832-2E9F-4445-899E-88E31E15AD90}"/>
    <cellStyle name="Normal 4 2 4 3 2 7" xfId="4739" xr:uid="{00000000-0005-0000-0000-000091130000}"/>
    <cellStyle name="Normal 4 2 4 3 2 7 2" xfId="13181" xr:uid="{BB8082EE-F1D7-426D-A7F9-FBBFB0AD666F}"/>
    <cellStyle name="Normal 4 2 4 3 2 8" xfId="8963" xr:uid="{FAAB99D0-7042-4EE5-B058-F8C4F771065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3C50C861-7AF5-4B97-8B92-A643DC694D7F}"/>
    <cellStyle name="Normal 4 2 4 3 3 2 3" xfId="11520" xr:uid="{60D46670-63FA-424E-8830-280CA6BEA6A6}"/>
    <cellStyle name="Normal 4 2 4 3 3 3" xfId="5151" xr:uid="{00000000-0005-0000-0000-000095130000}"/>
    <cellStyle name="Normal 4 2 4 3 3 3 2" xfId="13593" xr:uid="{5FA5A800-C291-45D2-B5E8-0B9B0B8EC791}"/>
    <cellStyle name="Normal 4 2 4 3 3 4" xfId="9375" xr:uid="{B1C8D388-33FF-4F8F-AF57-4DE55818D012}"/>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3939CCD6-2061-4A9F-8234-11B90A3D7837}"/>
    <cellStyle name="Normal 4 2 4 3 4 2 3" xfId="11933" xr:uid="{C8B39CEE-0C28-4737-B22D-D9F070963B02}"/>
    <cellStyle name="Normal 4 2 4 3 4 3" xfId="5564" xr:uid="{00000000-0005-0000-0000-000099130000}"/>
    <cellStyle name="Normal 4 2 4 3 4 3 2" xfId="14006" xr:uid="{3ED6420D-55A8-432B-B15B-63BE6EC6F78B}"/>
    <cellStyle name="Normal 4 2 4 3 4 4" xfId="9788" xr:uid="{9807850C-364B-4A99-AB5B-C7EA347C2CB4}"/>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B079CF95-86ED-4E14-8002-7AF1A1ADB2C7}"/>
    <cellStyle name="Normal 4 2 4 3 5 2 3" xfId="12346" xr:uid="{B9339155-0176-4A3A-8EAB-F009B9AD3079}"/>
    <cellStyle name="Normal 4 2 4 3 5 3" xfId="5977" xr:uid="{00000000-0005-0000-0000-00009D130000}"/>
    <cellStyle name="Normal 4 2 4 3 5 3 2" xfId="14419" xr:uid="{A3C84308-1163-4BF6-8DD8-BF6C7CB7F922}"/>
    <cellStyle name="Normal 4 2 4 3 5 4" xfId="10201" xr:uid="{FB9682C5-B221-4354-9023-58122B4140C4}"/>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7F921344-A85B-4AC9-954D-2F0CD5DD776E}"/>
    <cellStyle name="Normal 4 2 4 3 6 2 3" xfId="12759" xr:uid="{7FDB61F3-7382-4672-AEDA-BB4098FFE919}"/>
    <cellStyle name="Normal 4 2 4 3 6 3" xfId="6390" xr:uid="{00000000-0005-0000-0000-0000A1130000}"/>
    <cellStyle name="Normal 4 2 4 3 6 3 2" xfId="14832" xr:uid="{B0F1B99A-16BB-4061-9D53-6A5855066C3C}"/>
    <cellStyle name="Normal 4 2 4 3 6 4" xfId="10614" xr:uid="{941C840A-46A3-45D6-BBF8-B43334A40C4D}"/>
    <cellStyle name="Normal 4 2 4 3 7" xfId="2519" xr:uid="{00000000-0005-0000-0000-0000A2130000}"/>
    <cellStyle name="Normal 4 2 4 3 7 2" xfId="6803" xr:uid="{00000000-0005-0000-0000-0000A3130000}"/>
    <cellStyle name="Normal 4 2 4 3 7 2 2" xfId="15245" xr:uid="{833188A5-9DF3-4428-86B3-EF445F21E3B5}"/>
    <cellStyle name="Normal 4 2 4 3 7 3" xfId="11027" xr:uid="{6F3BACB7-64E8-456B-841A-6827A7ECA5BB}"/>
    <cellStyle name="Normal 4 2 4 3 8" xfId="4738" xr:uid="{00000000-0005-0000-0000-0000A4130000}"/>
    <cellStyle name="Normal 4 2 4 3 8 2" xfId="13180" xr:uid="{1EE8F6D3-2444-4EEF-9D07-82E319C50744}"/>
    <cellStyle name="Normal 4 2 4 3 9" xfId="8962" xr:uid="{2D86EA97-55EB-4EAE-8C9F-46E64BF542D5}"/>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3F7C22C3-9F49-4AB8-B8BB-92DF8093271C}"/>
    <cellStyle name="Normal 4 2 4 4 2 2 3" xfId="11522" xr:uid="{4EFFF725-7B58-44E6-8AAE-3749187A5291}"/>
    <cellStyle name="Normal 4 2 4 4 2 3" xfId="5153" xr:uid="{00000000-0005-0000-0000-0000A9130000}"/>
    <cellStyle name="Normal 4 2 4 4 2 3 2" xfId="13595" xr:uid="{8DB88E39-942D-4F51-8233-14CC2FD98056}"/>
    <cellStyle name="Normal 4 2 4 4 2 4" xfId="9377" xr:uid="{94273D7B-647A-41E2-B441-EB507164FDF9}"/>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4D4B11F8-3966-4DE7-A915-2EFC830EF5A4}"/>
    <cellStyle name="Normal 4 2 4 4 3 2 3" xfId="11935" xr:uid="{50549A6D-E273-43FB-9D2D-7E10D9A9CC9F}"/>
    <cellStyle name="Normal 4 2 4 4 3 3" xfId="5566" xr:uid="{00000000-0005-0000-0000-0000AD130000}"/>
    <cellStyle name="Normal 4 2 4 4 3 3 2" xfId="14008" xr:uid="{D71283FF-FD74-4DAB-8842-EB9C34C6B67D}"/>
    <cellStyle name="Normal 4 2 4 4 3 4" xfId="9790" xr:uid="{31AA3072-B6D3-4741-B578-9D88B37B61B8}"/>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D8A06CCE-6466-42AD-B2DD-A2F34000DE70}"/>
    <cellStyle name="Normal 4 2 4 4 4 2 3" xfId="12348" xr:uid="{9D2EC8EE-1254-44CA-B64E-F9F2E38828CC}"/>
    <cellStyle name="Normal 4 2 4 4 4 3" xfId="5979" xr:uid="{00000000-0005-0000-0000-0000B1130000}"/>
    <cellStyle name="Normal 4 2 4 4 4 3 2" xfId="14421" xr:uid="{F5197C6B-F558-4D70-A8D3-B6EE5F22A79E}"/>
    <cellStyle name="Normal 4 2 4 4 4 4" xfId="10203" xr:uid="{F58E4E1D-90FC-4E68-9465-255C2E4C6FFC}"/>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E0E70829-0C1F-4E94-84AE-A206ED80D714}"/>
    <cellStyle name="Normal 4 2 4 4 5 2 3" xfId="12761" xr:uid="{AF9E8E35-FBCB-46EC-8CE2-E8227BB54F9D}"/>
    <cellStyle name="Normal 4 2 4 4 5 3" xfId="6392" xr:uid="{00000000-0005-0000-0000-0000B5130000}"/>
    <cellStyle name="Normal 4 2 4 4 5 3 2" xfId="14834" xr:uid="{95147795-8D43-4CBB-9DCE-1951BEB9713B}"/>
    <cellStyle name="Normal 4 2 4 4 5 4" xfId="10616" xr:uid="{BF1E55A7-12A0-43AF-8F38-E4BD39221E27}"/>
    <cellStyle name="Normal 4 2 4 4 6" xfId="2521" xr:uid="{00000000-0005-0000-0000-0000B6130000}"/>
    <cellStyle name="Normal 4 2 4 4 6 2" xfId="6805" xr:uid="{00000000-0005-0000-0000-0000B7130000}"/>
    <cellStyle name="Normal 4 2 4 4 6 2 2" xfId="15247" xr:uid="{490E4DCB-D93B-4681-BD74-0C3013E80F8B}"/>
    <cellStyle name="Normal 4 2 4 4 6 3" xfId="11029" xr:uid="{162983C6-4F76-44DE-B024-AA8D71BD3382}"/>
    <cellStyle name="Normal 4 2 4 4 7" xfId="4740" xr:uid="{00000000-0005-0000-0000-0000B8130000}"/>
    <cellStyle name="Normal 4 2 4 4 7 2" xfId="13182" xr:uid="{17996EB8-74E9-4C29-8719-C8E10B7C80D4}"/>
    <cellStyle name="Normal 4 2 4 4 8" xfId="8964" xr:uid="{94369C8A-5BBD-48E0-8BB2-AA0E1011A69E}"/>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2981EF23-B7C7-4BC7-BC0C-634319D07FD1}"/>
    <cellStyle name="Normal 4 2 4 5 2 3" xfId="11515" xr:uid="{0EBF46FE-5D5D-42AE-8879-55CF2943F6A2}"/>
    <cellStyle name="Normal 4 2 4 5 3" xfId="5146" xr:uid="{00000000-0005-0000-0000-0000BC130000}"/>
    <cellStyle name="Normal 4 2 4 5 3 2" xfId="13588" xr:uid="{C9CAFBE4-E313-468F-8F58-513E94259161}"/>
    <cellStyle name="Normal 4 2 4 5 4" xfId="9370" xr:uid="{1275AFF3-1E6A-49D2-B02A-B29CFD7ED0F0}"/>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A4FD3CF6-53B0-47B9-8B93-0B0FEAF5868C}"/>
    <cellStyle name="Normal 4 2 4 6 2 3" xfId="11928" xr:uid="{24C2A3AF-242E-4053-A8F1-E61F1D1158A2}"/>
    <cellStyle name="Normal 4 2 4 6 3" xfId="5559" xr:uid="{00000000-0005-0000-0000-0000C0130000}"/>
    <cellStyle name="Normal 4 2 4 6 3 2" xfId="14001" xr:uid="{397439AA-17A8-48F9-BE30-355B1AB6F4D2}"/>
    <cellStyle name="Normal 4 2 4 6 4" xfId="9783" xr:uid="{35ACCC27-448F-4213-9A6F-FC89D0CC4531}"/>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8A3BAA9D-80CA-4952-9B53-95C396B61F4C}"/>
    <cellStyle name="Normal 4 2 4 7 2 3" xfId="12341" xr:uid="{7FB7442C-ED87-4AC7-8209-04C992C1C2FA}"/>
    <cellStyle name="Normal 4 2 4 7 3" xfId="5972" xr:uid="{00000000-0005-0000-0000-0000C4130000}"/>
    <cellStyle name="Normal 4 2 4 7 3 2" xfId="14414" xr:uid="{B85D37BA-E44E-4DC6-800A-CAD1C9709F71}"/>
    <cellStyle name="Normal 4 2 4 7 4" xfId="10196" xr:uid="{E30748D8-4047-4CE1-B04D-6F8E5567C190}"/>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8889189E-F960-4AED-BAB6-71A35859BEBF}"/>
    <cellStyle name="Normal 4 2 4 8 2 3" xfId="12754" xr:uid="{563716FA-921D-41B1-B359-A75D07CFED6C}"/>
    <cellStyle name="Normal 4 2 4 8 3" xfId="6385" xr:uid="{00000000-0005-0000-0000-0000C8130000}"/>
    <cellStyle name="Normal 4 2 4 8 3 2" xfId="14827" xr:uid="{1C692463-B4CF-43A2-A6DC-F259A2F8FDC4}"/>
    <cellStyle name="Normal 4 2 4 8 4" xfId="10609" xr:uid="{123E5A61-F00A-4BE6-9C31-9800864CB116}"/>
    <cellStyle name="Normal 4 2 4 9" xfId="2514" xr:uid="{00000000-0005-0000-0000-0000C9130000}"/>
    <cellStyle name="Normal 4 2 4 9 2" xfId="6798" xr:uid="{00000000-0005-0000-0000-0000CA130000}"/>
    <cellStyle name="Normal 4 2 4 9 2 2" xfId="15240" xr:uid="{7A55AB54-F25B-4290-A7B3-26531395DF6D}"/>
    <cellStyle name="Normal 4 2 4 9 3" xfId="11022" xr:uid="{4A0F560B-755E-4C75-B7EC-F9F6A3B3AB52}"/>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6EC2D444-3299-42D0-B768-456006A1B3EF}"/>
    <cellStyle name="Normal 4 2 5 2 2 2 3" xfId="11524" xr:uid="{1909DA35-2E42-4B9C-AB60-FEED21A18E97}"/>
    <cellStyle name="Normal 4 2 5 2 2 3" xfId="5155" xr:uid="{00000000-0005-0000-0000-0000D0130000}"/>
    <cellStyle name="Normal 4 2 5 2 2 3 2" xfId="13597" xr:uid="{C769CED9-0005-4050-8D59-4F3440E748E1}"/>
    <cellStyle name="Normal 4 2 5 2 2 4" xfId="9379" xr:uid="{5BC0D4BC-1390-42E5-8A0D-705BDC51E43B}"/>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D87BF777-657B-44FB-82C7-09CEEB6AAEBC}"/>
    <cellStyle name="Normal 4 2 5 2 3 2 3" xfId="11937" xr:uid="{39ECCFE7-9095-46BE-BE42-5E13954E9112}"/>
    <cellStyle name="Normal 4 2 5 2 3 3" xfId="5568" xr:uid="{00000000-0005-0000-0000-0000D4130000}"/>
    <cellStyle name="Normal 4 2 5 2 3 3 2" xfId="14010" xr:uid="{CAE6F89C-0F53-4641-874E-E393BA79AAD4}"/>
    <cellStyle name="Normal 4 2 5 2 3 4" xfId="9792" xr:uid="{4B19F3A9-4B0F-4534-8ED2-21AC321B0563}"/>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8AB5C950-4D9D-4CDA-AAE6-23278643DD4E}"/>
    <cellStyle name="Normal 4 2 5 2 4 2 3" xfId="12350" xr:uid="{AD1A6E1A-F3CD-48F2-993B-1650284B81F5}"/>
    <cellStyle name="Normal 4 2 5 2 4 3" xfId="5981" xr:uid="{00000000-0005-0000-0000-0000D8130000}"/>
    <cellStyle name="Normal 4 2 5 2 4 3 2" xfId="14423" xr:uid="{3E73E0A1-A92B-4919-AF73-6B53E7821131}"/>
    <cellStyle name="Normal 4 2 5 2 4 4" xfId="10205" xr:uid="{1C660ADB-449C-4EE8-BE16-AD20061965C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76830B5E-6CE1-4537-A09A-1F35C92BA375}"/>
    <cellStyle name="Normal 4 2 5 2 5 2 3" xfId="12763" xr:uid="{E365D80D-8C5E-4981-AA4F-081419EEFDA8}"/>
    <cellStyle name="Normal 4 2 5 2 5 3" xfId="6394" xr:uid="{00000000-0005-0000-0000-0000DC130000}"/>
    <cellStyle name="Normal 4 2 5 2 5 3 2" xfId="14836" xr:uid="{A63FFEB8-AF54-47A8-999F-EE3E9EE60C50}"/>
    <cellStyle name="Normal 4 2 5 2 5 4" xfId="10618" xr:uid="{9D443164-CD8D-43DE-A157-DBD38D083399}"/>
    <cellStyle name="Normal 4 2 5 2 6" xfId="2523" xr:uid="{00000000-0005-0000-0000-0000DD130000}"/>
    <cellStyle name="Normal 4 2 5 2 6 2" xfId="6807" xr:uid="{00000000-0005-0000-0000-0000DE130000}"/>
    <cellStyle name="Normal 4 2 5 2 6 2 2" xfId="15249" xr:uid="{8523DFC4-C83E-4EA7-ABB1-FCBFED0B4CDC}"/>
    <cellStyle name="Normal 4 2 5 2 6 3" xfId="11031" xr:uid="{63899B40-6B12-481D-A48D-A2496A5513B5}"/>
    <cellStyle name="Normal 4 2 5 2 7" xfId="4742" xr:uid="{00000000-0005-0000-0000-0000DF130000}"/>
    <cellStyle name="Normal 4 2 5 2 7 2" xfId="13184" xr:uid="{C34248AE-05D0-4AFB-8F12-A6531B79D866}"/>
    <cellStyle name="Normal 4 2 5 2 8" xfId="8966" xr:uid="{F32407E1-9C9F-40C6-AD0A-21E8387E5BE2}"/>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971E946-1603-4744-BD86-33BEE579B124}"/>
    <cellStyle name="Normal 4 2 5 3 2 3" xfId="11523" xr:uid="{946436E2-23D5-46D1-9F3E-0CB54E2BBA4A}"/>
    <cellStyle name="Normal 4 2 5 3 3" xfId="5154" xr:uid="{00000000-0005-0000-0000-0000E3130000}"/>
    <cellStyle name="Normal 4 2 5 3 3 2" xfId="13596" xr:uid="{B7E4259E-B0C9-4B30-B4D0-080C8B9856BC}"/>
    <cellStyle name="Normal 4 2 5 3 4" xfId="9378" xr:uid="{9C48681F-77FE-4326-862C-79B55460588B}"/>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53FFD19C-76E9-45DD-BA28-12E78FD37BDC}"/>
    <cellStyle name="Normal 4 2 5 4 2 3" xfId="11936" xr:uid="{0C9B12DF-9AF5-4AD2-8CCC-56B0D8CD0E2B}"/>
    <cellStyle name="Normal 4 2 5 4 3" xfId="5567" xr:uid="{00000000-0005-0000-0000-0000E7130000}"/>
    <cellStyle name="Normal 4 2 5 4 3 2" xfId="14009" xr:uid="{A85322C6-BE42-4EA9-AFA0-90392D1A1EBB}"/>
    <cellStyle name="Normal 4 2 5 4 4" xfId="9791" xr:uid="{E270D300-4739-4FCB-A784-E219AAA617B1}"/>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55CEADAE-EF91-4323-9185-404CFD40A6A3}"/>
    <cellStyle name="Normal 4 2 5 5 2 3" xfId="12349" xr:uid="{159F972B-B824-4206-A39E-3DA348E89630}"/>
    <cellStyle name="Normal 4 2 5 5 3" xfId="5980" xr:uid="{00000000-0005-0000-0000-0000EB130000}"/>
    <cellStyle name="Normal 4 2 5 5 3 2" xfId="14422" xr:uid="{E561FB75-12BC-461C-8870-24222E56812F}"/>
    <cellStyle name="Normal 4 2 5 5 4" xfId="10204" xr:uid="{DD64BE5E-6EC0-4802-8154-CA0CBEAE975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A656E68F-3F6E-4B2A-A637-BFC634DDDCD3}"/>
    <cellStyle name="Normal 4 2 5 6 2 3" xfId="12762" xr:uid="{919E51F7-7B23-4846-B697-81A034642A6F}"/>
    <cellStyle name="Normal 4 2 5 6 3" xfId="6393" xr:uid="{00000000-0005-0000-0000-0000EF130000}"/>
    <cellStyle name="Normal 4 2 5 6 3 2" xfId="14835" xr:uid="{E458AFB0-8CF3-4757-8E4B-DD38529C560A}"/>
    <cellStyle name="Normal 4 2 5 6 4" xfId="10617" xr:uid="{97ED978E-EED3-450A-9DD6-58E0A56242E7}"/>
    <cellStyle name="Normal 4 2 5 7" xfId="2522" xr:uid="{00000000-0005-0000-0000-0000F0130000}"/>
    <cellStyle name="Normal 4 2 5 7 2" xfId="6806" xr:uid="{00000000-0005-0000-0000-0000F1130000}"/>
    <cellStyle name="Normal 4 2 5 7 2 2" xfId="15248" xr:uid="{6B10BCA6-1EB3-49A9-991E-8DDEECBD581B}"/>
    <cellStyle name="Normal 4 2 5 7 3" xfId="11030" xr:uid="{1F75BAA3-0BEB-487C-975B-EA284333A0CF}"/>
    <cellStyle name="Normal 4 2 5 8" xfId="4741" xr:uid="{00000000-0005-0000-0000-0000F2130000}"/>
    <cellStyle name="Normal 4 2 5 8 2" xfId="13183" xr:uid="{EB7B2D4E-5031-445D-87B8-B6427B8450C0}"/>
    <cellStyle name="Normal 4 2 5 9" xfId="8965" xr:uid="{05115012-2446-41B8-9407-E37BE8CB064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D6176430-D2D5-48E5-AEE9-A63FBDF7F418}"/>
    <cellStyle name="Normal 4 2 6 2 2 3" xfId="11525" xr:uid="{12306059-8D01-4D90-A1BA-3A4B0C7ACA86}"/>
    <cellStyle name="Normal 4 2 6 2 3" xfId="5156" xr:uid="{00000000-0005-0000-0000-0000F7130000}"/>
    <cellStyle name="Normal 4 2 6 2 3 2" xfId="13598" xr:uid="{FAA49537-FE07-42E1-B4AD-9B21A429BF93}"/>
    <cellStyle name="Normal 4 2 6 2 4" xfId="9380" xr:uid="{2B2D52CC-2486-481B-8B8A-9D185430C1FE}"/>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35220C54-3E5E-47CE-B6E8-64E06736FA46}"/>
    <cellStyle name="Normal 4 2 6 3 2 3" xfId="11938" xr:uid="{B9DDE64D-1C4F-4F7C-B7D0-AF78DDB76858}"/>
    <cellStyle name="Normal 4 2 6 3 3" xfId="5569" xr:uid="{00000000-0005-0000-0000-0000FB130000}"/>
    <cellStyle name="Normal 4 2 6 3 3 2" xfId="14011" xr:uid="{1D24EFAD-F822-41A3-BD98-6D93356C9EF1}"/>
    <cellStyle name="Normal 4 2 6 3 4" xfId="9793" xr:uid="{5B3A5C93-0E59-4AFB-BFAA-976DE4B338EF}"/>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32EFB05B-1D17-40BA-8ED6-8B7F6CD0BD92}"/>
    <cellStyle name="Normal 4 2 6 4 2 3" xfId="12351" xr:uid="{86F915D6-CF99-4585-A25E-B92A48738635}"/>
    <cellStyle name="Normal 4 2 6 4 3" xfId="5982" xr:uid="{00000000-0005-0000-0000-0000FF130000}"/>
    <cellStyle name="Normal 4 2 6 4 3 2" xfId="14424" xr:uid="{376EFAB2-E6A4-48EB-A48A-B26A87AF22C7}"/>
    <cellStyle name="Normal 4 2 6 4 4" xfId="10206" xr:uid="{621481E2-A18F-48FF-99F6-E789380300E0}"/>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759ED883-91E4-4BF0-9F83-CFE86B73F665}"/>
    <cellStyle name="Normal 4 2 6 5 2 3" xfId="12764" xr:uid="{7579DDAF-C6C5-498F-BBAF-38B56DB2B37D}"/>
    <cellStyle name="Normal 4 2 6 5 3" xfId="6395" xr:uid="{00000000-0005-0000-0000-000003140000}"/>
    <cellStyle name="Normal 4 2 6 5 3 2" xfId="14837" xr:uid="{693541ED-A1A8-4E6E-80B0-738D9330CAE0}"/>
    <cellStyle name="Normal 4 2 6 5 4" xfId="10619" xr:uid="{191B3951-B5FA-4045-B0EF-52DF6BB10DD3}"/>
    <cellStyle name="Normal 4 2 6 6" xfId="2524" xr:uid="{00000000-0005-0000-0000-000004140000}"/>
    <cellStyle name="Normal 4 2 6 6 2" xfId="6808" xr:uid="{00000000-0005-0000-0000-000005140000}"/>
    <cellStyle name="Normal 4 2 6 6 2 2" xfId="15250" xr:uid="{74A1F07A-5323-4E07-BAC7-60A9B3FF61B7}"/>
    <cellStyle name="Normal 4 2 6 6 3" xfId="11032" xr:uid="{FC70CBA5-5114-422C-A2A9-221A3AF18E74}"/>
    <cellStyle name="Normal 4 2 6 7" xfId="4743" xr:uid="{00000000-0005-0000-0000-000006140000}"/>
    <cellStyle name="Normal 4 2 6 7 2" xfId="13185" xr:uid="{5AE6178D-20F0-472F-8B84-711CDBC70AF1}"/>
    <cellStyle name="Normal 4 2 6 8" xfId="8967" xr:uid="{02031FA5-C8CF-41E4-8D6E-BBC3F3EF76F0}"/>
    <cellStyle name="Normal 4 3" xfId="366" xr:uid="{00000000-0005-0000-0000-000007140000}"/>
    <cellStyle name="Normal 4 3 10" xfId="8968" xr:uid="{CC237E34-C10C-453A-8FD5-39834A07446A}"/>
    <cellStyle name="Normal 4 3 2" xfId="367" xr:uid="{00000000-0005-0000-0000-000008140000}"/>
    <cellStyle name="Normal 4 3 2 2" xfId="368" xr:uid="{00000000-0005-0000-0000-000009140000}"/>
    <cellStyle name="Normal 4 3 2 2 2" xfId="369" xr:uid="{00000000-0005-0000-0000-00000A140000}"/>
    <cellStyle name="Normal 4 3 2 2 2 10" xfId="8969" xr:uid="{016B28DF-2FFE-4D9D-A6FD-E5C1856337D3}"/>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6FB850F5-C910-4B3F-9A0B-CDFA48425639}"/>
    <cellStyle name="Normal 4 3 2 2 2 2 2 2 2 3" xfId="11529" xr:uid="{AA260147-5D80-40C4-8F7D-76454CFDB126}"/>
    <cellStyle name="Normal 4 3 2 2 2 2 2 2 3" xfId="5160" xr:uid="{00000000-0005-0000-0000-000010140000}"/>
    <cellStyle name="Normal 4 3 2 2 2 2 2 2 3 2" xfId="13602" xr:uid="{298CA4F7-CF9A-4BEF-8D05-46381351914E}"/>
    <cellStyle name="Normal 4 3 2 2 2 2 2 2 4" xfId="9384" xr:uid="{339BE5BB-ACE3-4F2E-B77B-E9FA891B2CA3}"/>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C2CF392C-34CD-4904-86A9-34BFB0E36ADA}"/>
    <cellStyle name="Normal 4 3 2 2 2 2 2 3 2 3" xfId="11942" xr:uid="{8C5F4D24-DF08-472B-9349-3573F311169B}"/>
    <cellStyle name="Normal 4 3 2 2 2 2 2 3 3" xfId="5573" xr:uid="{00000000-0005-0000-0000-000014140000}"/>
    <cellStyle name="Normal 4 3 2 2 2 2 2 3 3 2" xfId="14015" xr:uid="{AE240C7B-041E-4D9A-8443-B5D8B6E71729}"/>
    <cellStyle name="Normal 4 3 2 2 2 2 2 3 4" xfId="9797" xr:uid="{241E7C29-DBE2-4771-9B0B-F06170FE027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F48D95B1-E5CE-485B-9A13-76646E0A675D}"/>
    <cellStyle name="Normal 4 3 2 2 2 2 2 4 2 3" xfId="12355" xr:uid="{A6C26171-DC00-4EC7-9615-F2F8422297FB}"/>
    <cellStyle name="Normal 4 3 2 2 2 2 2 4 3" xfId="5986" xr:uid="{00000000-0005-0000-0000-000018140000}"/>
    <cellStyle name="Normal 4 3 2 2 2 2 2 4 3 2" xfId="14428" xr:uid="{AA609A97-1876-4925-9EF9-11202F767B31}"/>
    <cellStyle name="Normal 4 3 2 2 2 2 2 4 4" xfId="10210" xr:uid="{896965C9-F9CC-4201-AD29-1FEEF0D1640B}"/>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4B2FA91F-F724-4125-AE08-78450E623A8F}"/>
    <cellStyle name="Normal 4 3 2 2 2 2 2 5 2 3" xfId="12768" xr:uid="{C9C70FE9-8370-418D-B907-51AD3183EA2A}"/>
    <cellStyle name="Normal 4 3 2 2 2 2 2 5 3" xfId="6399" xr:uid="{00000000-0005-0000-0000-00001C140000}"/>
    <cellStyle name="Normal 4 3 2 2 2 2 2 5 3 2" xfId="14841" xr:uid="{6C5C52A5-F3CA-49B8-ACF2-D68DB073BA81}"/>
    <cellStyle name="Normal 4 3 2 2 2 2 2 5 4" xfId="10623" xr:uid="{9BAA2506-4014-42C7-8033-F2EF18BDF497}"/>
    <cellStyle name="Normal 4 3 2 2 2 2 2 6" xfId="2528" xr:uid="{00000000-0005-0000-0000-00001D140000}"/>
    <cellStyle name="Normal 4 3 2 2 2 2 2 6 2" xfId="6812" xr:uid="{00000000-0005-0000-0000-00001E140000}"/>
    <cellStyle name="Normal 4 3 2 2 2 2 2 6 2 2" xfId="15254" xr:uid="{3045FD39-A33C-494F-9705-9812E70047A3}"/>
    <cellStyle name="Normal 4 3 2 2 2 2 2 6 3" xfId="11036" xr:uid="{0C12E693-E3F7-4000-88E0-65A65A9AE295}"/>
    <cellStyle name="Normal 4 3 2 2 2 2 2 7" xfId="4747" xr:uid="{00000000-0005-0000-0000-00001F140000}"/>
    <cellStyle name="Normal 4 3 2 2 2 2 2 7 2" xfId="13189" xr:uid="{35F751D5-53DF-4769-A2DB-3431C51E9747}"/>
    <cellStyle name="Normal 4 3 2 2 2 2 2 8" xfId="8971" xr:uid="{A6EA291E-ACAF-4ED3-BEB7-C52DA9A20BC2}"/>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CC614398-B789-48B9-B35B-D40208CCA163}"/>
    <cellStyle name="Normal 4 3 2 2 2 2 3 2 3" xfId="11528" xr:uid="{BF5FD053-3167-422F-A242-8B0070F8DCC4}"/>
    <cellStyle name="Normal 4 3 2 2 2 2 3 3" xfId="5159" xr:uid="{00000000-0005-0000-0000-000023140000}"/>
    <cellStyle name="Normal 4 3 2 2 2 2 3 3 2" xfId="13601" xr:uid="{987E113A-FB5A-47D8-B8F2-0F3FF2B7494A}"/>
    <cellStyle name="Normal 4 3 2 2 2 2 3 4" xfId="9383" xr:uid="{AB61339F-2060-4A31-A5C7-9B00BEEAC613}"/>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1809A2D6-6204-46F9-99C5-5A11C02001D0}"/>
    <cellStyle name="Normal 4 3 2 2 2 2 4 2 3" xfId="11941" xr:uid="{DF06FBC7-9AC9-433C-858D-281CC98A0E3A}"/>
    <cellStyle name="Normal 4 3 2 2 2 2 4 3" xfId="5572" xr:uid="{00000000-0005-0000-0000-000027140000}"/>
    <cellStyle name="Normal 4 3 2 2 2 2 4 3 2" xfId="14014" xr:uid="{89CFCB21-BF7A-4C81-9A7E-C7A22923929A}"/>
    <cellStyle name="Normal 4 3 2 2 2 2 4 4" xfId="9796" xr:uid="{53E69498-200F-444D-BAC0-83C74A821E3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2A86B469-4675-4BE1-83AF-E5E2D7D5DA75}"/>
    <cellStyle name="Normal 4 3 2 2 2 2 5 2 3" xfId="12354" xr:uid="{ED868DE8-816C-4591-89D4-273C0DC5BBD8}"/>
    <cellStyle name="Normal 4 3 2 2 2 2 5 3" xfId="5985" xr:uid="{00000000-0005-0000-0000-00002B140000}"/>
    <cellStyle name="Normal 4 3 2 2 2 2 5 3 2" xfId="14427" xr:uid="{28889A42-9620-44F1-9BE3-F1D12435F58B}"/>
    <cellStyle name="Normal 4 3 2 2 2 2 5 4" xfId="10209" xr:uid="{12ED677D-BE6B-4FBD-9C55-4EC774F3B83D}"/>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344B5896-78FB-4C0E-9E2A-563D9DB13775}"/>
    <cellStyle name="Normal 4 3 2 2 2 2 6 2 3" xfId="12767" xr:uid="{5CE3F569-8B16-4F5C-821A-3ABAA278077B}"/>
    <cellStyle name="Normal 4 3 2 2 2 2 6 3" xfId="6398" xr:uid="{00000000-0005-0000-0000-00002F140000}"/>
    <cellStyle name="Normal 4 3 2 2 2 2 6 3 2" xfId="14840" xr:uid="{65F0458F-BEF4-46AF-BD60-AF27F73678F3}"/>
    <cellStyle name="Normal 4 3 2 2 2 2 6 4" xfId="10622" xr:uid="{404136C9-0239-4CB9-B8E9-703425135919}"/>
    <cellStyle name="Normal 4 3 2 2 2 2 7" xfId="2527" xr:uid="{00000000-0005-0000-0000-000030140000}"/>
    <cellStyle name="Normal 4 3 2 2 2 2 7 2" xfId="6811" xr:uid="{00000000-0005-0000-0000-000031140000}"/>
    <cellStyle name="Normal 4 3 2 2 2 2 7 2 2" xfId="15253" xr:uid="{C7ED71FC-1359-4B26-9BBA-5682C1479A3A}"/>
    <cellStyle name="Normal 4 3 2 2 2 2 7 3" xfId="11035" xr:uid="{B6D1BF10-0D2D-4B6D-8B4D-B6BBA27C0C9C}"/>
    <cellStyle name="Normal 4 3 2 2 2 2 8" xfId="4746" xr:uid="{00000000-0005-0000-0000-000032140000}"/>
    <cellStyle name="Normal 4 3 2 2 2 2 8 2" xfId="13188" xr:uid="{40BC5E56-74A5-4543-873E-2E5BBF29E429}"/>
    <cellStyle name="Normal 4 3 2 2 2 2 9" xfId="8970" xr:uid="{7E36C2D3-9463-467F-BE6B-33D58DB1CD9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F0EAAD11-87BF-4743-9CBA-729BF5B5BB71}"/>
    <cellStyle name="Normal 4 3 2 2 2 3 2 2 3" xfId="11530" xr:uid="{21AC53FB-79FF-4CA5-B0FF-AD8614355B09}"/>
    <cellStyle name="Normal 4 3 2 2 2 3 2 3" xfId="5161" xr:uid="{00000000-0005-0000-0000-000037140000}"/>
    <cellStyle name="Normal 4 3 2 2 2 3 2 3 2" xfId="13603" xr:uid="{DA0DB165-8E80-4EF4-B12F-0D2E7B95BD29}"/>
    <cellStyle name="Normal 4 3 2 2 2 3 2 4" xfId="9385" xr:uid="{4B76CB59-1B04-4BDB-B287-FE48AC1D5204}"/>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69E6DCB9-39D3-4DFB-94C1-9EDCC13B57BF}"/>
    <cellStyle name="Normal 4 3 2 2 2 3 3 2 3" xfId="11943" xr:uid="{463CCAB5-DBE0-4208-A96D-2AD284F94132}"/>
    <cellStyle name="Normal 4 3 2 2 2 3 3 3" xfId="5574" xr:uid="{00000000-0005-0000-0000-00003B140000}"/>
    <cellStyle name="Normal 4 3 2 2 2 3 3 3 2" xfId="14016" xr:uid="{355B7356-B3B7-47BC-9389-6B2329B068A2}"/>
    <cellStyle name="Normal 4 3 2 2 2 3 3 4" xfId="9798" xr:uid="{41A2FF5F-AB78-412C-9342-E32CBFABA28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E8E7E762-E2B1-4B23-A1DB-B519E75D431C}"/>
    <cellStyle name="Normal 4 3 2 2 2 3 4 2 3" xfId="12356" xr:uid="{B820EFCA-72DE-498C-B2FD-DE58D35EB3EF}"/>
    <cellStyle name="Normal 4 3 2 2 2 3 4 3" xfId="5987" xr:uid="{00000000-0005-0000-0000-00003F140000}"/>
    <cellStyle name="Normal 4 3 2 2 2 3 4 3 2" xfId="14429" xr:uid="{82730052-7A19-47CB-BC91-8B5D63AB7281}"/>
    <cellStyle name="Normal 4 3 2 2 2 3 4 4" xfId="10211" xr:uid="{EE887BA2-3E43-4029-8FD0-5FD49B351495}"/>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018D5DE5-33D6-4807-85C7-784DA849BCD3}"/>
    <cellStyle name="Normal 4 3 2 2 2 3 5 2 3" xfId="12769" xr:uid="{2468F9F4-D565-4055-B658-E018C3E45943}"/>
    <cellStyle name="Normal 4 3 2 2 2 3 5 3" xfId="6400" xr:uid="{00000000-0005-0000-0000-000043140000}"/>
    <cellStyle name="Normal 4 3 2 2 2 3 5 3 2" xfId="14842" xr:uid="{FDBF3AC8-C2CF-4B90-A776-8976BBD77DCB}"/>
    <cellStyle name="Normal 4 3 2 2 2 3 5 4" xfId="10624" xr:uid="{8549AF89-1F5C-487F-AB11-8A7C02C1979B}"/>
    <cellStyle name="Normal 4 3 2 2 2 3 6" xfId="2529" xr:uid="{00000000-0005-0000-0000-000044140000}"/>
    <cellStyle name="Normal 4 3 2 2 2 3 6 2" xfId="6813" xr:uid="{00000000-0005-0000-0000-000045140000}"/>
    <cellStyle name="Normal 4 3 2 2 2 3 6 2 2" xfId="15255" xr:uid="{570891C0-916D-4DD4-B880-E6CFC6C03380}"/>
    <cellStyle name="Normal 4 3 2 2 2 3 6 3" xfId="11037" xr:uid="{09731F78-C0E0-4AEB-94EF-E6EB2D5EF6CC}"/>
    <cellStyle name="Normal 4 3 2 2 2 3 7" xfId="4748" xr:uid="{00000000-0005-0000-0000-000046140000}"/>
    <cellStyle name="Normal 4 3 2 2 2 3 7 2" xfId="13190" xr:uid="{ED3160AA-5415-4455-BEA2-A522C67E673D}"/>
    <cellStyle name="Normal 4 3 2 2 2 3 8" xfId="8972" xr:uid="{91A175CB-D583-4C1E-BC34-957DBF15722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27D7A700-72AB-4AB6-B51B-B2511E97C18A}"/>
    <cellStyle name="Normal 4 3 2 2 2 4 2 3" xfId="11527" xr:uid="{1BD30528-ED6A-4E41-88D1-9F1D44A3D266}"/>
    <cellStyle name="Normal 4 3 2 2 2 4 3" xfId="5158" xr:uid="{00000000-0005-0000-0000-00004A140000}"/>
    <cellStyle name="Normal 4 3 2 2 2 4 3 2" xfId="13600" xr:uid="{35B24F88-8750-4CFD-B5FC-8106C70FA7E6}"/>
    <cellStyle name="Normal 4 3 2 2 2 4 4" xfId="9382" xr:uid="{3EAF2A3F-1458-4108-A682-B2397A255D01}"/>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F49E60A2-5F39-43E6-8E6A-040C569A9207}"/>
    <cellStyle name="Normal 4 3 2 2 2 5 2 3" xfId="11940" xr:uid="{CF05303D-2449-415F-A1E4-1F3D0CAC1871}"/>
    <cellStyle name="Normal 4 3 2 2 2 5 3" xfId="5571" xr:uid="{00000000-0005-0000-0000-00004E140000}"/>
    <cellStyle name="Normal 4 3 2 2 2 5 3 2" xfId="14013" xr:uid="{12D8EF85-C146-4782-8A2B-F6CBBBDE09A9}"/>
    <cellStyle name="Normal 4 3 2 2 2 5 4" xfId="9795" xr:uid="{EB8E3F2A-482C-4B12-8B2E-4AE97EB70D4E}"/>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E786C33C-5B9F-4AED-BA7E-EB5378B0E5DF}"/>
    <cellStyle name="Normal 4 3 2 2 2 6 2 3" xfId="12353" xr:uid="{61AD82B4-398B-42DF-BF75-2985E3274DB0}"/>
    <cellStyle name="Normal 4 3 2 2 2 6 3" xfId="5984" xr:uid="{00000000-0005-0000-0000-000052140000}"/>
    <cellStyle name="Normal 4 3 2 2 2 6 3 2" xfId="14426" xr:uid="{9509AEEC-376C-480A-A320-4BE118C30069}"/>
    <cellStyle name="Normal 4 3 2 2 2 6 4" xfId="10208" xr:uid="{5EEF037F-9EA3-4ED5-8159-DFE9346CF6F7}"/>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07CD5F78-FB29-4B58-B994-0D0DB868DFEC}"/>
    <cellStyle name="Normal 4 3 2 2 2 7 2 3" xfId="12766" xr:uid="{E4592ED9-E9C3-4D15-BBFD-10B09B9F33BC}"/>
    <cellStyle name="Normal 4 3 2 2 2 7 3" xfId="6397" xr:uid="{00000000-0005-0000-0000-000056140000}"/>
    <cellStyle name="Normal 4 3 2 2 2 7 3 2" xfId="14839" xr:uid="{535EC9B6-4CE1-4495-9816-E21B91B537CD}"/>
    <cellStyle name="Normal 4 3 2 2 2 7 4" xfId="10621" xr:uid="{5A211671-4AFE-4EB4-8F15-F6749212145D}"/>
    <cellStyle name="Normal 4 3 2 2 2 8" xfId="2526" xr:uid="{00000000-0005-0000-0000-000057140000}"/>
    <cellStyle name="Normal 4 3 2 2 2 8 2" xfId="6810" xr:uid="{00000000-0005-0000-0000-000058140000}"/>
    <cellStyle name="Normal 4 3 2 2 2 8 2 2" xfId="15252" xr:uid="{2AE33FA5-FCB3-4E03-A0DB-04F7302F7AE8}"/>
    <cellStyle name="Normal 4 3 2 2 2 8 3" xfId="11034" xr:uid="{9CB74A6E-0BC6-4B86-A661-80601F615BFA}"/>
    <cellStyle name="Normal 4 3 2 2 2 9" xfId="4745" xr:uid="{00000000-0005-0000-0000-000059140000}"/>
    <cellStyle name="Normal 4 3 2 2 2 9 2" xfId="13187" xr:uid="{58095885-7884-4B61-B26D-2D631415730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1C55059B-F260-44FD-8953-09B0BE450E7A}"/>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0DB8CA3D-6A56-4C50-BA61-E0388D00EBAD}"/>
    <cellStyle name="Normal 4 3 3 2 2 2 2 3" xfId="11533" xr:uid="{4BB847FA-7F2C-42F6-B0FF-B7327147F993}"/>
    <cellStyle name="Normal 4 3 3 2 2 2 3" xfId="5164" xr:uid="{00000000-0005-0000-0000-000063140000}"/>
    <cellStyle name="Normal 4 3 3 2 2 2 3 2" xfId="13606" xr:uid="{9B3D4A1F-310E-4354-AD8D-B8F6F9CBEFEE}"/>
    <cellStyle name="Normal 4 3 3 2 2 2 4" xfId="9388" xr:uid="{5FFF1A5C-AEFB-4730-BB1F-F9EEB112F28F}"/>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A88ECA22-277A-45D1-822A-ABBFC17B24DF}"/>
    <cellStyle name="Normal 4 3 3 2 2 3 2 3" xfId="11946" xr:uid="{D17CFD8E-FE14-46C7-A2D9-68516F169D4F}"/>
    <cellStyle name="Normal 4 3 3 2 2 3 3" xfId="5577" xr:uid="{00000000-0005-0000-0000-000067140000}"/>
    <cellStyle name="Normal 4 3 3 2 2 3 3 2" xfId="14019" xr:uid="{50270005-D76E-4701-8DF7-524284984162}"/>
    <cellStyle name="Normal 4 3 3 2 2 3 4" xfId="9801" xr:uid="{0087334F-EA85-4610-9654-556DAA42AF36}"/>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CF62002F-C7E8-4814-995E-55306E228B44}"/>
    <cellStyle name="Normal 4 3 3 2 2 4 2 3" xfId="12359" xr:uid="{5E4F2B07-7411-4FC9-BF64-9BAB9DC72A6C}"/>
    <cellStyle name="Normal 4 3 3 2 2 4 3" xfId="5990" xr:uid="{00000000-0005-0000-0000-00006B140000}"/>
    <cellStyle name="Normal 4 3 3 2 2 4 3 2" xfId="14432" xr:uid="{FA2F6715-96C7-4816-862E-80102BCA7B27}"/>
    <cellStyle name="Normal 4 3 3 2 2 4 4" xfId="10214" xr:uid="{73630927-6880-4E77-A854-D0292B47F36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86762C85-C6C3-4B50-9EE6-ABAF7AB49FE4}"/>
    <cellStyle name="Normal 4 3 3 2 2 5 2 3" xfId="12772" xr:uid="{849A2F9B-AD54-487B-A8E3-5EDE85847D4E}"/>
    <cellStyle name="Normal 4 3 3 2 2 5 3" xfId="6403" xr:uid="{00000000-0005-0000-0000-00006F140000}"/>
    <cellStyle name="Normal 4 3 3 2 2 5 3 2" xfId="14845" xr:uid="{16A47A28-9356-47FE-AAD5-327DB189FB67}"/>
    <cellStyle name="Normal 4 3 3 2 2 5 4" xfId="10627" xr:uid="{E60576E8-B957-43F7-93A6-B4B45C13C95A}"/>
    <cellStyle name="Normal 4 3 3 2 2 6" xfId="2532" xr:uid="{00000000-0005-0000-0000-000070140000}"/>
    <cellStyle name="Normal 4 3 3 2 2 6 2" xfId="6816" xr:uid="{00000000-0005-0000-0000-000071140000}"/>
    <cellStyle name="Normal 4 3 3 2 2 6 2 2" xfId="15258" xr:uid="{A38FA3D5-B152-4E09-8CEE-40D4C709BAF4}"/>
    <cellStyle name="Normal 4 3 3 2 2 6 3" xfId="11040" xr:uid="{EC97CA5A-B2FF-419F-BAA9-FAD154250170}"/>
    <cellStyle name="Normal 4 3 3 2 2 7" xfId="4751" xr:uid="{00000000-0005-0000-0000-000072140000}"/>
    <cellStyle name="Normal 4 3 3 2 2 7 2" xfId="13193" xr:uid="{7B2302A4-2648-4F38-9968-C11DDD10E0A5}"/>
    <cellStyle name="Normal 4 3 3 2 2 8" xfId="8975" xr:uid="{5B7E90A1-125C-41F6-B708-E8426275AE4E}"/>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603FA456-B98C-4581-B4F0-D84F59231EA6}"/>
    <cellStyle name="Normal 4 3 3 2 3 2 3" xfId="11532" xr:uid="{02D7DF21-0EFF-427E-90E0-6D20C91EEF37}"/>
    <cellStyle name="Normal 4 3 3 2 3 3" xfId="5163" xr:uid="{00000000-0005-0000-0000-000076140000}"/>
    <cellStyle name="Normal 4 3 3 2 3 3 2" xfId="13605" xr:uid="{5279D189-9A18-4B68-8C6C-59C8E94C921B}"/>
    <cellStyle name="Normal 4 3 3 2 3 4" xfId="9387" xr:uid="{6DBABD01-EAE6-4E97-B643-C767B187C55A}"/>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1F1C4102-2B50-48D7-865C-5C83C0BE02BF}"/>
    <cellStyle name="Normal 4 3 3 2 4 2 3" xfId="11945" xr:uid="{CDCC84B8-207F-493B-8067-007F2BB4B427}"/>
    <cellStyle name="Normal 4 3 3 2 4 3" xfId="5576" xr:uid="{00000000-0005-0000-0000-00007A140000}"/>
    <cellStyle name="Normal 4 3 3 2 4 3 2" xfId="14018" xr:uid="{B0368A6C-DD32-47C1-A314-06B02BD65F6F}"/>
    <cellStyle name="Normal 4 3 3 2 4 4" xfId="9800" xr:uid="{A59B5C57-E15C-4373-88E6-E95633FF3A2B}"/>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0AE844BB-B6FD-4A04-A042-34CB0D64444C}"/>
    <cellStyle name="Normal 4 3 3 2 5 2 3" xfId="12358" xr:uid="{B2E1D9AB-9393-4EED-BF3B-CDCC7D2B957A}"/>
    <cellStyle name="Normal 4 3 3 2 5 3" xfId="5989" xr:uid="{00000000-0005-0000-0000-00007E140000}"/>
    <cellStyle name="Normal 4 3 3 2 5 3 2" xfId="14431" xr:uid="{6E5AA57C-CAC7-4079-A053-4C4CF8EE78F4}"/>
    <cellStyle name="Normal 4 3 3 2 5 4" xfId="10213" xr:uid="{FD74BFCB-ECA4-4912-96C3-FA9EEA4DB00D}"/>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0BACFC9C-7BC5-464E-98A8-491E4369A8D5}"/>
    <cellStyle name="Normal 4 3 3 2 6 2 3" xfId="12771" xr:uid="{E4BDA8D2-17F6-44DA-963E-D23038734C67}"/>
    <cellStyle name="Normal 4 3 3 2 6 3" xfId="6402" xr:uid="{00000000-0005-0000-0000-000082140000}"/>
    <cellStyle name="Normal 4 3 3 2 6 3 2" xfId="14844" xr:uid="{F5434327-B615-484F-AF33-88F362303B88}"/>
    <cellStyle name="Normal 4 3 3 2 6 4" xfId="10626" xr:uid="{78CC4253-3436-44C8-A78F-9E5A309E5EC5}"/>
    <cellStyle name="Normal 4 3 3 2 7" xfId="2531" xr:uid="{00000000-0005-0000-0000-000083140000}"/>
    <cellStyle name="Normal 4 3 3 2 7 2" xfId="6815" xr:uid="{00000000-0005-0000-0000-000084140000}"/>
    <cellStyle name="Normal 4 3 3 2 7 2 2" xfId="15257" xr:uid="{7C82AEC1-FA63-4DBE-995A-B7C8C8F146A7}"/>
    <cellStyle name="Normal 4 3 3 2 7 3" xfId="11039" xr:uid="{130108BB-7967-4551-ADD7-73848E15F4D5}"/>
    <cellStyle name="Normal 4 3 3 2 8" xfId="4750" xr:uid="{00000000-0005-0000-0000-000085140000}"/>
    <cellStyle name="Normal 4 3 3 2 8 2" xfId="13192" xr:uid="{C7BDE068-F258-44A5-AAFC-2FEABF6421C1}"/>
    <cellStyle name="Normal 4 3 3 2 9" xfId="8974" xr:uid="{09DD9EF4-A3C9-47C3-AFC5-257D49BC027C}"/>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1A24999E-A432-4E73-B928-0DFE9EEC055F}"/>
    <cellStyle name="Normal 4 3 3 3 2 2 3" xfId="11534" xr:uid="{C1D2938C-9A02-4829-BDF6-A6E42AC3F928}"/>
    <cellStyle name="Normal 4 3 3 3 2 3" xfId="5165" xr:uid="{00000000-0005-0000-0000-00008A140000}"/>
    <cellStyle name="Normal 4 3 3 3 2 3 2" xfId="13607" xr:uid="{CCD81044-716D-4D1E-95F1-4AF9B3432F2E}"/>
    <cellStyle name="Normal 4 3 3 3 2 4" xfId="9389" xr:uid="{64DDBAC7-C56F-4D2D-9B66-BF13BE9D5283}"/>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891E10F4-BB58-4B84-9660-A5D3523660AE}"/>
    <cellStyle name="Normal 4 3 3 3 3 2 3" xfId="11947" xr:uid="{511BC21C-0A6F-410C-BD9C-D956A3795F03}"/>
    <cellStyle name="Normal 4 3 3 3 3 3" xfId="5578" xr:uid="{00000000-0005-0000-0000-00008E140000}"/>
    <cellStyle name="Normal 4 3 3 3 3 3 2" xfId="14020" xr:uid="{109DB403-D377-4673-89E5-7681560F2D44}"/>
    <cellStyle name="Normal 4 3 3 3 3 4" xfId="9802" xr:uid="{620916C2-D723-4807-856B-43879DE500FD}"/>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7231010C-990E-4DF6-B250-2D1C7D99FC94}"/>
    <cellStyle name="Normal 4 3 3 3 4 2 3" xfId="12360" xr:uid="{415E157C-4166-441B-A36F-CFBD3B364D02}"/>
    <cellStyle name="Normal 4 3 3 3 4 3" xfId="5991" xr:uid="{00000000-0005-0000-0000-000092140000}"/>
    <cellStyle name="Normal 4 3 3 3 4 3 2" xfId="14433" xr:uid="{5B6895B3-5612-4662-9BD8-C715D8EB8665}"/>
    <cellStyle name="Normal 4 3 3 3 4 4" xfId="10215" xr:uid="{583A32C4-BA01-49D2-9E91-AC420B67FA3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725867A0-FF81-46E9-BAEF-91CD754A1632}"/>
    <cellStyle name="Normal 4 3 3 3 5 2 3" xfId="12773" xr:uid="{C286B734-4A3D-46AC-9684-AAB70BC3F922}"/>
    <cellStyle name="Normal 4 3 3 3 5 3" xfId="6404" xr:uid="{00000000-0005-0000-0000-000096140000}"/>
    <cellStyle name="Normal 4 3 3 3 5 3 2" xfId="14846" xr:uid="{548114ED-8F04-499B-B438-DEF807BA0F59}"/>
    <cellStyle name="Normal 4 3 3 3 5 4" xfId="10628" xr:uid="{E9FBB576-3310-49B9-8C62-AD57D2C38A75}"/>
    <cellStyle name="Normal 4 3 3 3 6" xfId="2533" xr:uid="{00000000-0005-0000-0000-000097140000}"/>
    <cellStyle name="Normal 4 3 3 3 6 2" xfId="6817" xr:uid="{00000000-0005-0000-0000-000098140000}"/>
    <cellStyle name="Normal 4 3 3 3 6 2 2" xfId="15259" xr:uid="{81785B8A-11CD-4610-B0B0-A9EF65C1A8AB}"/>
    <cellStyle name="Normal 4 3 3 3 6 3" xfId="11041" xr:uid="{94928504-D0C8-4EB5-806B-C691B125E61A}"/>
    <cellStyle name="Normal 4 3 3 3 7" xfId="4752" xr:uid="{00000000-0005-0000-0000-000099140000}"/>
    <cellStyle name="Normal 4 3 3 3 7 2" xfId="13194" xr:uid="{588EAA89-D56D-4352-B203-704DB126ABEB}"/>
    <cellStyle name="Normal 4 3 3 3 8" xfId="8976" xr:uid="{D3482D4C-82BA-4B89-8DA1-0B57D6A71D83}"/>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6F7B0A90-1A42-4DB2-A466-A755A5A488A2}"/>
    <cellStyle name="Normal 4 3 3 4 2 3" xfId="11531" xr:uid="{1ECB6BA5-1773-4845-BE1C-2F3016A24C7A}"/>
    <cellStyle name="Normal 4 3 3 4 3" xfId="5162" xr:uid="{00000000-0005-0000-0000-00009D140000}"/>
    <cellStyle name="Normal 4 3 3 4 3 2" xfId="13604" xr:uid="{7E83007B-774B-4D2B-8AFA-03012BD24ABA}"/>
    <cellStyle name="Normal 4 3 3 4 4" xfId="9386" xr:uid="{05E5CDA4-2E3D-45E0-9634-86F4FAE96E2F}"/>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3AB6FF86-0BBF-4A7D-B944-244F23497386}"/>
    <cellStyle name="Normal 4 3 3 5 2 3" xfId="11944" xr:uid="{C9AE61B2-CE5F-44A4-9244-C8027F0AD4AD}"/>
    <cellStyle name="Normal 4 3 3 5 3" xfId="5575" xr:uid="{00000000-0005-0000-0000-0000A1140000}"/>
    <cellStyle name="Normal 4 3 3 5 3 2" xfId="14017" xr:uid="{9E41A37F-19F9-4328-9952-050F909F4316}"/>
    <cellStyle name="Normal 4 3 3 5 4" xfId="9799" xr:uid="{C18D427E-20D2-42BC-BDF1-668EC2454225}"/>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212A4D60-FFF9-4824-81DA-E8075AAD8311}"/>
    <cellStyle name="Normal 4 3 3 6 2 3" xfId="12357" xr:uid="{1C08E553-935D-4ED4-BD66-CB759BA45195}"/>
    <cellStyle name="Normal 4 3 3 6 3" xfId="5988" xr:uid="{00000000-0005-0000-0000-0000A5140000}"/>
    <cellStyle name="Normal 4 3 3 6 3 2" xfId="14430" xr:uid="{762A7761-1B51-4B4B-B187-75F55BB669B0}"/>
    <cellStyle name="Normal 4 3 3 6 4" xfId="10212" xr:uid="{30A035F3-3CEF-4BA6-B203-3DE46252878A}"/>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47D5BAF4-80C5-41A7-BCC7-18A48CD488B2}"/>
    <cellStyle name="Normal 4 3 3 7 2 3" xfId="12770" xr:uid="{C57C580F-003C-434E-AEB5-7E395589C961}"/>
    <cellStyle name="Normal 4 3 3 7 3" xfId="6401" xr:uid="{00000000-0005-0000-0000-0000A9140000}"/>
    <cellStyle name="Normal 4 3 3 7 3 2" xfId="14843" xr:uid="{4E69023A-5BE6-456A-92B3-50ED03EDA8BC}"/>
    <cellStyle name="Normal 4 3 3 7 4" xfId="10625" xr:uid="{CF143096-F1C9-4F82-9EEF-4CC070206E87}"/>
    <cellStyle name="Normal 4 3 3 8" xfId="2530" xr:uid="{00000000-0005-0000-0000-0000AA140000}"/>
    <cellStyle name="Normal 4 3 3 8 2" xfId="6814" xr:uid="{00000000-0005-0000-0000-0000AB140000}"/>
    <cellStyle name="Normal 4 3 3 8 2 2" xfId="15256" xr:uid="{66979CFC-1C2C-4C02-A991-F1AD3BC0BBE7}"/>
    <cellStyle name="Normal 4 3 3 8 3" xfId="11038" xr:uid="{2ADBBD62-8249-4245-94F7-C4A582D1C506}"/>
    <cellStyle name="Normal 4 3 3 9" xfId="4749" xr:uid="{00000000-0005-0000-0000-0000AC140000}"/>
    <cellStyle name="Normal 4 3 3 9 2" xfId="13191" xr:uid="{F58D6C42-DDDD-4742-910A-01358946E20E}"/>
    <cellStyle name="Normal 4 3 4" xfId="842" xr:uid="{00000000-0005-0000-0000-0000AD140000}"/>
    <cellStyle name="Normal 4 3 4 2" xfId="3079" xr:uid="{00000000-0005-0000-0000-0000AE140000}"/>
    <cellStyle name="Normal 4 3 4 2 2" xfId="7302" xr:uid="{00000000-0005-0000-0000-0000AF140000}"/>
    <cellStyle name="Normal 4 3 4 2 2 2" xfId="15744" xr:uid="{4EA1C816-D579-45A0-B224-ABD0BFCA7929}"/>
    <cellStyle name="Normal 4 3 4 2 3" xfId="11526" xr:uid="{4A84DBA2-0F7D-44A1-B930-C359EEF2526D}"/>
    <cellStyle name="Normal 4 3 4 3" xfId="5157" xr:uid="{00000000-0005-0000-0000-0000B0140000}"/>
    <cellStyle name="Normal 4 3 4 3 2" xfId="13599" xr:uid="{0A7CD12B-DC98-4758-8EE5-78962203BA49}"/>
    <cellStyle name="Normal 4 3 4 4" xfId="9381" xr:uid="{D8ADFFFF-A541-4428-9A33-D690A4900E0A}"/>
    <cellStyle name="Normal 4 3 5" xfId="1262" xr:uid="{00000000-0005-0000-0000-0000B1140000}"/>
    <cellStyle name="Normal 4 3 5 2" xfId="3492" xr:uid="{00000000-0005-0000-0000-0000B2140000}"/>
    <cellStyle name="Normal 4 3 5 2 2" xfId="7715" xr:uid="{00000000-0005-0000-0000-0000B3140000}"/>
    <cellStyle name="Normal 4 3 5 2 2 2" xfId="16157" xr:uid="{A8B4C1A3-EA9D-4245-9F44-132ECD31A6BA}"/>
    <cellStyle name="Normal 4 3 5 2 3" xfId="11939" xr:uid="{54F478A7-B104-4AD4-9335-4962767C14C5}"/>
    <cellStyle name="Normal 4 3 5 3" xfId="5570" xr:uid="{00000000-0005-0000-0000-0000B4140000}"/>
    <cellStyle name="Normal 4 3 5 3 2" xfId="14012" xr:uid="{9519200A-0D83-4490-B941-8F8CFDCFC6B2}"/>
    <cellStyle name="Normal 4 3 5 4" xfId="9794" xr:uid="{D192A5AB-8F88-43AD-8C76-E7479B656CB4}"/>
    <cellStyle name="Normal 4 3 6" xfId="1675" xr:uid="{00000000-0005-0000-0000-0000B5140000}"/>
    <cellStyle name="Normal 4 3 6 2" xfId="3905" xr:uid="{00000000-0005-0000-0000-0000B6140000}"/>
    <cellStyle name="Normal 4 3 6 2 2" xfId="8128" xr:uid="{00000000-0005-0000-0000-0000B7140000}"/>
    <cellStyle name="Normal 4 3 6 2 2 2" xfId="16570" xr:uid="{A0D11054-D3AE-4EA3-938C-3FC96077DF61}"/>
    <cellStyle name="Normal 4 3 6 2 3" xfId="12352" xr:uid="{13F098DB-C4C0-4043-990B-73207FD322BF}"/>
    <cellStyle name="Normal 4 3 6 3" xfId="5983" xr:uid="{00000000-0005-0000-0000-0000B8140000}"/>
    <cellStyle name="Normal 4 3 6 3 2" xfId="14425" xr:uid="{41391006-7D51-466C-8541-02065652D7E8}"/>
    <cellStyle name="Normal 4 3 6 4" xfId="10207" xr:uid="{A59B2C0B-A664-4DA8-916F-51D54AED63FF}"/>
    <cellStyle name="Normal 4 3 7" xfId="2089" xr:uid="{00000000-0005-0000-0000-0000B9140000}"/>
    <cellStyle name="Normal 4 3 7 2" xfId="4318" xr:uid="{00000000-0005-0000-0000-0000BA140000}"/>
    <cellStyle name="Normal 4 3 7 2 2" xfId="8541" xr:uid="{00000000-0005-0000-0000-0000BB140000}"/>
    <cellStyle name="Normal 4 3 7 2 2 2" xfId="16983" xr:uid="{0358F6A6-A7A1-4D8F-ABC3-9CD2822A561A}"/>
    <cellStyle name="Normal 4 3 7 2 3" xfId="12765" xr:uid="{AE0F9D3C-2331-4853-95B5-29C8D60FFCF2}"/>
    <cellStyle name="Normal 4 3 7 3" xfId="6396" xr:uid="{00000000-0005-0000-0000-0000BC140000}"/>
    <cellStyle name="Normal 4 3 7 3 2" xfId="14838" xr:uid="{1387EBBD-95C9-4C61-A840-3211D2BD56E5}"/>
    <cellStyle name="Normal 4 3 7 4" xfId="10620" xr:uid="{D21D81BD-2E2D-47AD-AE3F-2F859265C957}"/>
    <cellStyle name="Normal 4 3 8" xfId="2525" xr:uid="{00000000-0005-0000-0000-0000BD140000}"/>
    <cellStyle name="Normal 4 3 8 2" xfId="6809" xr:uid="{00000000-0005-0000-0000-0000BE140000}"/>
    <cellStyle name="Normal 4 3 8 2 2" xfId="15251" xr:uid="{CBDE0CC0-2C8E-4875-842D-55D3F1497D73}"/>
    <cellStyle name="Normal 4 3 8 3" xfId="11033" xr:uid="{90817579-91C1-4AA4-A87F-FF98A1A064A0}"/>
    <cellStyle name="Normal 4 3 9" xfId="4744" xr:uid="{00000000-0005-0000-0000-0000BF140000}"/>
    <cellStyle name="Normal 4 3 9 2" xfId="13186" xr:uid="{88172AEC-4CD5-4EE3-9BF4-B8C32426CCCF}"/>
    <cellStyle name="Normal 4 4" xfId="378" xr:uid="{00000000-0005-0000-0000-0000C0140000}"/>
    <cellStyle name="Normal 4 4 10" xfId="2534" xr:uid="{00000000-0005-0000-0000-0000C1140000}"/>
    <cellStyle name="Normal 4 4 10 2" xfId="6818" xr:uid="{00000000-0005-0000-0000-0000C2140000}"/>
    <cellStyle name="Normal 4 4 10 2 2" xfId="15260" xr:uid="{47C2E08D-8AD0-42D8-94B4-BCE00BBB5274}"/>
    <cellStyle name="Normal 4 4 10 3" xfId="11042" xr:uid="{6C65BE14-584C-4379-B996-674845ABB243}"/>
    <cellStyle name="Normal 4 4 11" xfId="4753" xr:uid="{00000000-0005-0000-0000-0000C3140000}"/>
    <cellStyle name="Normal 4 4 11 2" xfId="13195" xr:uid="{57483584-A6EC-43DC-A986-D4A652F0F5FF}"/>
    <cellStyle name="Normal 4 4 12" xfId="8977" xr:uid="{5088EA0D-2124-4488-B991-86A1E486D7E6}"/>
    <cellStyle name="Normal 4 4 2" xfId="379" xr:uid="{00000000-0005-0000-0000-0000C4140000}"/>
    <cellStyle name="Normal 4 4 2 10" xfId="4754" xr:uid="{00000000-0005-0000-0000-0000C5140000}"/>
    <cellStyle name="Normal 4 4 2 10 2" xfId="13196" xr:uid="{CF4A77F5-7049-4311-A9DD-057742B951D7}"/>
    <cellStyle name="Normal 4 4 2 11" xfId="8978" xr:uid="{4FDDF6E7-DEF9-4129-B17B-5A937B015E4A}"/>
    <cellStyle name="Normal 4 4 2 2" xfId="380" xr:uid="{00000000-0005-0000-0000-0000C6140000}"/>
    <cellStyle name="Normal 4 4 2 2 10" xfId="8979" xr:uid="{6CD9EE95-11A9-48B0-9C1E-6D07F2F87261}"/>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78561052-4E2C-4089-BEFA-0671BB7602D3}"/>
    <cellStyle name="Normal 4 4 2 2 2 2 2 2 3" xfId="11539" xr:uid="{C1C712C5-1060-4FB5-9D22-A7D5C0285C74}"/>
    <cellStyle name="Normal 4 4 2 2 2 2 2 3" xfId="5170" xr:uid="{00000000-0005-0000-0000-0000CC140000}"/>
    <cellStyle name="Normal 4 4 2 2 2 2 2 3 2" xfId="13612" xr:uid="{529B95A6-B1D5-4402-985D-60B4891496E7}"/>
    <cellStyle name="Normal 4 4 2 2 2 2 2 4" xfId="9394" xr:uid="{3EC9410E-ED0C-45D7-B7F5-44C7BC02686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E75DA627-7982-488C-8C01-DEA68BFFE554}"/>
    <cellStyle name="Normal 4 4 2 2 2 2 3 2 3" xfId="11952" xr:uid="{A6523C52-1D8E-43B2-ACED-DAAA53902ACD}"/>
    <cellStyle name="Normal 4 4 2 2 2 2 3 3" xfId="5583" xr:uid="{00000000-0005-0000-0000-0000D0140000}"/>
    <cellStyle name="Normal 4 4 2 2 2 2 3 3 2" xfId="14025" xr:uid="{D2FFDE76-CCE4-4BCA-B564-978F53FD16AF}"/>
    <cellStyle name="Normal 4 4 2 2 2 2 3 4" xfId="9807" xr:uid="{690C2FA4-7D0B-43E1-8377-F08A8EE9B44D}"/>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23008830-847A-4244-A118-627D24EB2C83}"/>
    <cellStyle name="Normal 4 4 2 2 2 2 4 2 3" xfId="12365" xr:uid="{41F201BA-E610-4D08-8D70-586CAA5519E1}"/>
    <cellStyle name="Normal 4 4 2 2 2 2 4 3" xfId="5996" xr:uid="{00000000-0005-0000-0000-0000D4140000}"/>
    <cellStyle name="Normal 4 4 2 2 2 2 4 3 2" xfId="14438" xr:uid="{78DEB13B-A1AB-401E-8328-746589DB1D18}"/>
    <cellStyle name="Normal 4 4 2 2 2 2 4 4" xfId="10220" xr:uid="{1E115093-1563-4D16-BE60-D3E43AF55E37}"/>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FDEAB7AC-C196-4992-9A16-80A33CAEDBC9}"/>
    <cellStyle name="Normal 4 4 2 2 2 2 5 2 3" xfId="12778" xr:uid="{CDEEE63F-82C2-42BF-AB41-D12424F2979C}"/>
    <cellStyle name="Normal 4 4 2 2 2 2 5 3" xfId="6409" xr:uid="{00000000-0005-0000-0000-0000D8140000}"/>
    <cellStyle name="Normal 4 4 2 2 2 2 5 3 2" xfId="14851" xr:uid="{07CC55D2-715C-4D03-9116-5A8A7D34895C}"/>
    <cellStyle name="Normal 4 4 2 2 2 2 5 4" xfId="10633" xr:uid="{83669320-5D25-4B12-9F53-0722D75F475B}"/>
    <cellStyle name="Normal 4 4 2 2 2 2 6" xfId="2538" xr:uid="{00000000-0005-0000-0000-0000D9140000}"/>
    <cellStyle name="Normal 4 4 2 2 2 2 6 2" xfId="6822" xr:uid="{00000000-0005-0000-0000-0000DA140000}"/>
    <cellStyle name="Normal 4 4 2 2 2 2 6 2 2" xfId="15264" xr:uid="{AB697077-4100-4980-8739-6E127F7F7204}"/>
    <cellStyle name="Normal 4 4 2 2 2 2 6 3" xfId="11046" xr:uid="{8A5E8450-23D1-4152-9BC4-D1C23E933C09}"/>
    <cellStyle name="Normal 4 4 2 2 2 2 7" xfId="4757" xr:uid="{00000000-0005-0000-0000-0000DB140000}"/>
    <cellStyle name="Normal 4 4 2 2 2 2 7 2" xfId="13199" xr:uid="{7AF485B7-848C-4534-BE95-A97B7A6A479E}"/>
    <cellStyle name="Normal 4 4 2 2 2 2 8" xfId="8981" xr:uid="{9ECEE679-53EA-4CDA-8EBF-C098621E5674}"/>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93C96694-87FE-4BED-978F-B195AACF3EB1}"/>
    <cellStyle name="Normal 4 4 2 2 2 3 2 3" xfId="11538" xr:uid="{63813748-71FC-4C98-B34E-D6BE74814B54}"/>
    <cellStyle name="Normal 4 4 2 2 2 3 3" xfId="5169" xr:uid="{00000000-0005-0000-0000-0000DF140000}"/>
    <cellStyle name="Normal 4 4 2 2 2 3 3 2" xfId="13611" xr:uid="{31D96FF6-6543-424A-BB82-EE2C93CD712A}"/>
    <cellStyle name="Normal 4 4 2 2 2 3 4" xfId="9393" xr:uid="{AD2187E2-74E3-4934-A6BF-638D7568138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67BB315F-9038-4EEC-B2F0-6E6B94FE345E}"/>
    <cellStyle name="Normal 4 4 2 2 2 4 2 3" xfId="11951" xr:uid="{DD0F1BF7-DA9A-4A6A-876F-7E58A276DE16}"/>
    <cellStyle name="Normal 4 4 2 2 2 4 3" xfId="5582" xr:uid="{00000000-0005-0000-0000-0000E3140000}"/>
    <cellStyle name="Normal 4 4 2 2 2 4 3 2" xfId="14024" xr:uid="{99143472-2B06-4CEC-8C57-CFFCE4059EAC}"/>
    <cellStyle name="Normal 4 4 2 2 2 4 4" xfId="9806" xr:uid="{B50B1A71-36D2-4FB4-BA72-58104117C644}"/>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D4E3E40E-0635-4D78-9CAB-6BE88BDC3DF3}"/>
    <cellStyle name="Normal 4 4 2 2 2 5 2 3" xfId="12364" xr:uid="{3096B518-887B-437C-97C9-0A9BD437CA02}"/>
    <cellStyle name="Normal 4 4 2 2 2 5 3" xfId="5995" xr:uid="{00000000-0005-0000-0000-0000E7140000}"/>
    <cellStyle name="Normal 4 4 2 2 2 5 3 2" xfId="14437" xr:uid="{6DDD8892-F696-40A7-A2D3-DA5733A485E9}"/>
    <cellStyle name="Normal 4 4 2 2 2 5 4" xfId="10219" xr:uid="{BE507C71-F0D7-48EA-9DBC-34B047FE6008}"/>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B6A31054-5DA7-4FD1-B6C6-FBE26631F060}"/>
    <cellStyle name="Normal 4 4 2 2 2 6 2 3" xfId="12777" xr:uid="{EC9089E9-D88E-4AF1-B95B-44005134D689}"/>
    <cellStyle name="Normal 4 4 2 2 2 6 3" xfId="6408" xr:uid="{00000000-0005-0000-0000-0000EB140000}"/>
    <cellStyle name="Normal 4 4 2 2 2 6 3 2" xfId="14850" xr:uid="{F4780A9A-8704-4806-B238-51392C834DDF}"/>
    <cellStyle name="Normal 4 4 2 2 2 6 4" xfId="10632" xr:uid="{A41CD5B6-906C-4A59-BDE3-C68ADB87D038}"/>
    <cellStyle name="Normal 4 4 2 2 2 7" xfId="2537" xr:uid="{00000000-0005-0000-0000-0000EC140000}"/>
    <cellStyle name="Normal 4 4 2 2 2 7 2" xfId="6821" xr:uid="{00000000-0005-0000-0000-0000ED140000}"/>
    <cellStyle name="Normal 4 4 2 2 2 7 2 2" xfId="15263" xr:uid="{CEB26026-4B52-4585-B3A8-05987F57FBB1}"/>
    <cellStyle name="Normal 4 4 2 2 2 7 3" xfId="11045" xr:uid="{2B52CF95-A1BB-43B0-BEED-936A74567C48}"/>
    <cellStyle name="Normal 4 4 2 2 2 8" xfId="4756" xr:uid="{00000000-0005-0000-0000-0000EE140000}"/>
    <cellStyle name="Normal 4 4 2 2 2 8 2" xfId="13198" xr:uid="{D84BE3D6-88D2-4744-846B-B01091D89CF1}"/>
    <cellStyle name="Normal 4 4 2 2 2 9" xfId="8980" xr:uid="{56A1BFD6-02AF-41AC-816A-8BB990EE9B59}"/>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A5B406E6-B680-41C7-B52D-0F08394145F5}"/>
    <cellStyle name="Normal 4 4 2 2 3 2 2 3" xfId="11540" xr:uid="{E92E9253-59C6-4637-B1C1-92AFFC57681E}"/>
    <cellStyle name="Normal 4 4 2 2 3 2 3" xfId="5171" xr:uid="{00000000-0005-0000-0000-0000F3140000}"/>
    <cellStyle name="Normal 4 4 2 2 3 2 3 2" xfId="13613" xr:uid="{A9CAB04D-D3D8-40FD-B6A5-311E57811E1E}"/>
    <cellStyle name="Normal 4 4 2 2 3 2 4" xfId="9395" xr:uid="{BD482A63-7889-42C6-B005-B5A62061A708}"/>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4BE54B4F-06BB-43B3-B162-12CE3FFAAC18}"/>
    <cellStyle name="Normal 4 4 2 2 3 3 2 3" xfId="11953" xr:uid="{4EC90A43-CB0B-4A11-9DC1-A35CA02EF50E}"/>
    <cellStyle name="Normal 4 4 2 2 3 3 3" xfId="5584" xr:uid="{00000000-0005-0000-0000-0000F7140000}"/>
    <cellStyle name="Normal 4 4 2 2 3 3 3 2" xfId="14026" xr:uid="{F442E21F-17DA-4BBA-85C2-C4954CFC9EB1}"/>
    <cellStyle name="Normal 4 4 2 2 3 3 4" xfId="9808" xr:uid="{1809402D-958E-484C-AA1F-8AF7837D8615}"/>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3DF9FF53-B8CA-4FA6-A945-0EF9286679C6}"/>
    <cellStyle name="Normal 4 4 2 2 3 4 2 3" xfId="12366" xr:uid="{BDE19D85-4BF6-48D2-9D23-CBFF3B4070BF}"/>
    <cellStyle name="Normal 4 4 2 2 3 4 3" xfId="5997" xr:uid="{00000000-0005-0000-0000-0000FB140000}"/>
    <cellStyle name="Normal 4 4 2 2 3 4 3 2" xfId="14439" xr:uid="{0F811D44-99DE-48C5-AAA8-A6373ACDF2C8}"/>
    <cellStyle name="Normal 4 4 2 2 3 4 4" xfId="10221" xr:uid="{A6C535B1-AE22-44D8-A178-E1D823EB400C}"/>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1D4C2AA7-61D2-4767-9C05-0D0C17201DA6}"/>
    <cellStyle name="Normal 4 4 2 2 3 5 2 3" xfId="12779" xr:uid="{26FF4F6E-49D9-4FA8-A2EA-1A2C8E294E20}"/>
    <cellStyle name="Normal 4 4 2 2 3 5 3" xfId="6410" xr:uid="{00000000-0005-0000-0000-0000FF140000}"/>
    <cellStyle name="Normal 4 4 2 2 3 5 3 2" xfId="14852" xr:uid="{D3D71BE0-DB3B-4098-8F6A-B9B8BF6838ED}"/>
    <cellStyle name="Normal 4 4 2 2 3 5 4" xfId="10634" xr:uid="{9E55AE79-8FA4-44C6-BD93-38FB3DEAD965}"/>
    <cellStyle name="Normal 4 4 2 2 3 6" xfId="2539" xr:uid="{00000000-0005-0000-0000-000000150000}"/>
    <cellStyle name="Normal 4 4 2 2 3 6 2" xfId="6823" xr:uid="{00000000-0005-0000-0000-000001150000}"/>
    <cellStyle name="Normal 4 4 2 2 3 6 2 2" xfId="15265" xr:uid="{705E7893-2DE9-4C9E-9AC2-C4AEDA3416DE}"/>
    <cellStyle name="Normal 4 4 2 2 3 6 3" xfId="11047" xr:uid="{FCB9704F-0ADF-4E2F-87E1-E85FDD3B09F6}"/>
    <cellStyle name="Normal 4 4 2 2 3 7" xfId="4758" xr:uid="{00000000-0005-0000-0000-000002150000}"/>
    <cellStyle name="Normal 4 4 2 2 3 7 2" xfId="13200" xr:uid="{B7E9A832-143F-4F01-B4D5-8525E1524169}"/>
    <cellStyle name="Normal 4 4 2 2 3 8" xfId="8982" xr:uid="{759C2E91-A1D1-4384-9462-2B41FD1F39D2}"/>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B61CAA32-34BC-4CC4-85D4-F990EE4FBDAF}"/>
    <cellStyle name="Normal 4 4 2 2 4 2 3" xfId="11537" xr:uid="{7A12100B-B4F2-4C55-A345-F02DA6FBCCF8}"/>
    <cellStyle name="Normal 4 4 2 2 4 3" xfId="5168" xr:uid="{00000000-0005-0000-0000-000006150000}"/>
    <cellStyle name="Normal 4 4 2 2 4 3 2" xfId="13610" xr:uid="{749EE1F1-B023-431D-A962-C3A813748F83}"/>
    <cellStyle name="Normal 4 4 2 2 4 4" xfId="9392" xr:uid="{7A45B11F-FA15-4ED4-8E48-F8FC2E44378F}"/>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F3016886-F0AA-4A9F-8628-022FCFD795D0}"/>
    <cellStyle name="Normal 4 4 2 2 5 2 3" xfId="11950" xr:uid="{742E3615-2421-4DD8-BE73-BFCA48903CF2}"/>
    <cellStyle name="Normal 4 4 2 2 5 3" xfId="5581" xr:uid="{00000000-0005-0000-0000-00000A150000}"/>
    <cellStyle name="Normal 4 4 2 2 5 3 2" xfId="14023" xr:uid="{F9903E17-85FE-45E4-8AD8-A1E6B1B3B65E}"/>
    <cellStyle name="Normal 4 4 2 2 5 4" xfId="9805" xr:uid="{FB0CB45D-2833-4492-8283-FDD1F3363C67}"/>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75699D8-2609-4C26-826D-CE2ABFCBF58D}"/>
    <cellStyle name="Normal 4 4 2 2 6 2 3" xfId="12363" xr:uid="{7448CEAF-3198-4DF8-8C60-0CF12F2392A0}"/>
    <cellStyle name="Normal 4 4 2 2 6 3" xfId="5994" xr:uid="{00000000-0005-0000-0000-00000E150000}"/>
    <cellStyle name="Normal 4 4 2 2 6 3 2" xfId="14436" xr:uid="{D19037E1-4665-438A-A617-998EC060D6A7}"/>
    <cellStyle name="Normal 4 4 2 2 6 4" xfId="10218" xr:uid="{328C7899-F096-4E9D-868C-840C8DAEE63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154994AE-1B6F-44BD-AEEC-70F5003678AC}"/>
    <cellStyle name="Normal 4 4 2 2 7 2 3" xfId="12776" xr:uid="{D16771CE-7D83-4744-AABC-D213A0C6213B}"/>
    <cellStyle name="Normal 4 4 2 2 7 3" xfId="6407" xr:uid="{00000000-0005-0000-0000-000012150000}"/>
    <cellStyle name="Normal 4 4 2 2 7 3 2" xfId="14849" xr:uid="{45B44454-413F-412A-AA95-EFB932F09D1D}"/>
    <cellStyle name="Normal 4 4 2 2 7 4" xfId="10631" xr:uid="{A0316D39-ABF4-403F-A7F0-A07DE460D6C0}"/>
    <cellStyle name="Normal 4 4 2 2 8" xfId="2536" xr:uid="{00000000-0005-0000-0000-000013150000}"/>
    <cellStyle name="Normal 4 4 2 2 8 2" xfId="6820" xr:uid="{00000000-0005-0000-0000-000014150000}"/>
    <cellStyle name="Normal 4 4 2 2 8 2 2" xfId="15262" xr:uid="{1359018E-78CE-4282-8145-574F59FA39EC}"/>
    <cellStyle name="Normal 4 4 2 2 8 3" xfId="11044" xr:uid="{F275AA41-78DE-4E38-AE5E-83F5BAFE85F5}"/>
    <cellStyle name="Normal 4 4 2 2 9" xfId="4755" xr:uid="{00000000-0005-0000-0000-000015150000}"/>
    <cellStyle name="Normal 4 4 2 2 9 2" xfId="13197" xr:uid="{DB858D89-97D6-45AE-B96C-9571B892F39F}"/>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4F996038-56D1-4470-896D-179D734D374F}"/>
    <cellStyle name="Normal 4 4 2 3 2 2 2 3" xfId="11542" xr:uid="{981E3A05-BE0A-49A6-820D-151C2B66DD7D}"/>
    <cellStyle name="Normal 4 4 2 3 2 2 3" xfId="5173" xr:uid="{00000000-0005-0000-0000-00001B150000}"/>
    <cellStyle name="Normal 4 4 2 3 2 2 3 2" xfId="13615" xr:uid="{33113B35-457A-4284-91BA-D0A0BEAC0FFA}"/>
    <cellStyle name="Normal 4 4 2 3 2 2 4" xfId="9397" xr:uid="{12C0CACF-2606-489E-9626-AD5E40B2E245}"/>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5415EFFE-3CB7-4776-AC45-4D9EB45644EE}"/>
    <cellStyle name="Normal 4 4 2 3 2 3 2 3" xfId="11955" xr:uid="{E5AE3222-1CD0-41D2-95F0-4C22FCA6A6AA}"/>
    <cellStyle name="Normal 4 4 2 3 2 3 3" xfId="5586" xr:uid="{00000000-0005-0000-0000-00001F150000}"/>
    <cellStyle name="Normal 4 4 2 3 2 3 3 2" xfId="14028" xr:uid="{0B2FFFF6-DAEE-4767-AB59-AF4F889454BF}"/>
    <cellStyle name="Normal 4 4 2 3 2 3 4" xfId="9810" xr:uid="{A5891AC8-585B-421E-B167-86AECE8EB5E4}"/>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A3222F10-ED6C-4D2D-9780-4FE1717ECC0B}"/>
    <cellStyle name="Normal 4 4 2 3 2 4 2 3" xfId="12368" xr:uid="{C78C09F1-C8B6-42EA-8FF9-9B229B0B39B4}"/>
    <cellStyle name="Normal 4 4 2 3 2 4 3" xfId="5999" xr:uid="{00000000-0005-0000-0000-000023150000}"/>
    <cellStyle name="Normal 4 4 2 3 2 4 3 2" xfId="14441" xr:uid="{F4745D22-FCD4-476A-8196-5105939EFB08}"/>
    <cellStyle name="Normal 4 4 2 3 2 4 4" xfId="10223" xr:uid="{09CBB9E8-DAD5-4CB4-8CBE-6496986E896E}"/>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12247B5E-3641-44AD-AA4E-AF2FA77928AA}"/>
    <cellStyle name="Normal 4 4 2 3 2 5 2 3" xfId="12781" xr:uid="{6AF89FC9-8772-4000-90C3-6E5575203DB5}"/>
    <cellStyle name="Normal 4 4 2 3 2 5 3" xfId="6412" xr:uid="{00000000-0005-0000-0000-000027150000}"/>
    <cellStyle name="Normal 4 4 2 3 2 5 3 2" xfId="14854" xr:uid="{3CFBF574-0594-446C-ADE3-6BFFF5B4EF48}"/>
    <cellStyle name="Normal 4 4 2 3 2 5 4" xfId="10636" xr:uid="{104DBE64-1178-4E86-9BF8-B2DB10485CEE}"/>
    <cellStyle name="Normal 4 4 2 3 2 6" xfId="2541" xr:uid="{00000000-0005-0000-0000-000028150000}"/>
    <cellStyle name="Normal 4 4 2 3 2 6 2" xfId="6825" xr:uid="{00000000-0005-0000-0000-000029150000}"/>
    <cellStyle name="Normal 4 4 2 3 2 6 2 2" xfId="15267" xr:uid="{DDE07A11-186F-488D-84C6-852B27B53F29}"/>
    <cellStyle name="Normal 4 4 2 3 2 6 3" xfId="11049" xr:uid="{7B02CC9F-E01C-43E7-AA04-53C08EC2D012}"/>
    <cellStyle name="Normal 4 4 2 3 2 7" xfId="4760" xr:uid="{00000000-0005-0000-0000-00002A150000}"/>
    <cellStyle name="Normal 4 4 2 3 2 7 2" xfId="13202" xr:uid="{2C342D11-9A1B-45F0-8EE5-0BCC93EE0493}"/>
    <cellStyle name="Normal 4 4 2 3 2 8" xfId="8984" xr:uid="{A3D79C70-EEF6-469E-9BB6-9620D9CF6B97}"/>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DA49C35D-4E4D-4619-99E9-AD4DDBD93D33}"/>
    <cellStyle name="Normal 4 4 2 3 3 2 3" xfId="11541" xr:uid="{6704248C-EAD1-4C97-8263-AE164B2873E5}"/>
    <cellStyle name="Normal 4 4 2 3 3 3" xfId="5172" xr:uid="{00000000-0005-0000-0000-00002E150000}"/>
    <cellStyle name="Normal 4 4 2 3 3 3 2" xfId="13614" xr:uid="{75C84DD0-BA12-48D4-A66C-6A2E8AD892CC}"/>
    <cellStyle name="Normal 4 4 2 3 3 4" xfId="9396" xr:uid="{9585CDBB-513A-43BB-A87B-42F84C4A02A5}"/>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CB667961-2948-400A-8840-486616B35522}"/>
    <cellStyle name="Normal 4 4 2 3 4 2 3" xfId="11954" xr:uid="{33A9AC4B-FD04-479E-9C58-DDDA3175FDC3}"/>
    <cellStyle name="Normal 4 4 2 3 4 3" xfId="5585" xr:uid="{00000000-0005-0000-0000-000032150000}"/>
    <cellStyle name="Normal 4 4 2 3 4 3 2" xfId="14027" xr:uid="{FCC0A6CC-06BE-480D-B4AB-1016E234CBC9}"/>
    <cellStyle name="Normal 4 4 2 3 4 4" xfId="9809" xr:uid="{C957BCBA-8565-4332-98E5-32CC2C540B2C}"/>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7BD07DAE-2EA0-4B63-B526-EC7EE83CD226}"/>
    <cellStyle name="Normal 4 4 2 3 5 2 3" xfId="12367" xr:uid="{9871DE71-9A79-4E30-842D-68CA62AFBC68}"/>
    <cellStyle name="Normal 4 4 2 3 5 3" xfId="5998" xr:uid="{00000000-0005-0000-0000-000036150000}"/>
    <cellStyle name="Normal 4 4 2 3 5 3 2" xfId="14440" xr:uid="{F2744A56-0C67-4B08-9F6C-CBC5D33D22CB}"/>
    <cellStyle name="Normal 4 4 2 3 5 4" xfId="10222" xr:uid="{C164213C-C392-48DD-A868-2274A57D0DED}"/>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5503AA35-8394-4C08-81FF-307C02163C72}"/>
    <cellStyle name="Normal 4 4 2 3 6 2 3" xfId="12780" xr:uid="{AD3EE341-6691-4C3B-913C-21594E5FB296}"/>
    <cellStyle name="Normal 4 4 2 3 6 3" xfId="6411" xr:uid="{00000000-0005-0000-0000-00003A150000}"/>
    <cellStyle name="Normal 4 4 2 3 6 3 2" xfId="14853" xr:uid="{F4D28455-D770-42E4-B7C0-6E5FB0AC19F2}"/>
    <cellStyle name="Normal 4 4 2 3 6 4" xfId="10635" xr:uid="{F0DA9FA8-3CC1-4FB4-A6FF-F6CF012F5523}"/>
    <cellStyle name="Normal 4 4 2 3 7" xfId="2540" xr:uid="{00000000-0005-0000-0000-00003B150000}"/>
    <cellStyle name="Normal 4 4 2 3 7 2" xfId="6824" xr:uid="{00000000-0005-0000-0000-00003C150000}"/>
    <cellStyle name="Normal 4 4 2 3 7 2 2" xfId="15266" xr:uid="{2F73A1DD-C072-4760-BAF2-64FF8272E6E7}"/>
    <cellStyle name="Normal 4 4 2 3 7 3" xfId="11048" xr:uid="{7D920062-AA12-4B2B-AFE3-47710E03002A}"/>
    <cellStyle name="Normal 4 4 2 3 8" xfId="4759" xr:uid="{00000000-0005-0000-0000-00003D150000}"/>
    <cellStyle name="Normal 4 4 2 3 8 2" xfId="13201" xr:uid="{AABF1E82-A738-483C-B049-71704551EED7}"/>
    <cellStyle name="Normal 4 4 2 3 9" xfId="8983" xr:uid="{119CDDCD-12FD-47BF-9BEF-4785F7A7411E}"/>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64A73D84-4303-4C1B-91CB-127B6C75FF86}"/>
    <cellStyle name="Normal 4 4 2 4 2 2 3" xfId="11543" xr:uid="{F451C6ED-4AA7-4D06-9059-B4ED38F06BC1}"/>
    <cellStyle name="Normal 4 4 2 4 2 3" xfId="5174" xr:uid="{00000000-0005-0000-0000-000042150000}"/>
    <cellStyle name="Normal 4 4 2 4 2 3 2" xfId="13616" xr:uid="{7703B19F-AD15-4B19-8916-DEDE85307510}"/>
    <cellStyle name="Normal 4 4 2 4 2 4" xfId="9398" xr:uid="{873D766D-1544-4242-BB7F-A00210DFB4D1}"/>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FC824452-CE37-4D60-A103-81FE7F2CA2E0}"/>
    <cellStyle name="Normal 4 4 2 4 3 2 3" xfId="11956" xr:uid="{D5DC2B85-7160-485A-A147-B0959A43AA55}"/>
    <cellStyle name="Normal 4 4 2 4 3 3" xfId="5587" xr:uid="{00000000-0005-0000-0000-000046150000}"/>
    <cellStyle name="Normal 4 4 2 4 3 3 2" xfId="14029" xr:uid="{E529578F-36EB-4700-9090-2130449C8FE4}"/>
    <cellStyle name="Normal 4 4 2 4 3 4" xfId="9811" xr:uid="{38D7623D-BB80-4207-A49A-311345AB6352}"/>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7A9D587E-E273-4355-9AFE-D94C370D3772}"/>
    <cellStyle name="Normal 4 4 2 4 4 2 3" xfId="12369" xr:uid="{4B58D027-E953-4D36-93CD-6953112EC105}"/>
    <cellStyle name="Normal 4 4 2 4 4 3" xfId="6000" xr:uid="{00000000-0005-0000-0000-00004A150000}"/>
    <cellStyle name="Normal 4 4 2 4 4 3 2" xfId="14442" xr:uid="{6EC95669-E037-431C-AC5C-26AFF5EFEAD6}"/>
    <cellStyle name="Normal 4 4 2 4 4 4" xfId="10224" xr:uid="{5507FF55-947F-4097-A354-00853FBFBEF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2128AFE9-A60B-4B6E-B019-B9D04EFBCD26}"/>
    <cellStyle name="Normal 4 4 2 4 5 2 3" xfId="12782" xr:uid="{3CBB0706-0267-4DB1-AAF9-C7DCDB2BF2F2}"/>
    <cellStyle name="Normal 4 4 2 4 5 3" xfId="6413" xr:uid="{00000000-0005-0000-0000-00004E150000}"/>
    <cellStyle name="Normal 4 4 2 4 5 3 2" xfId="14855" xr:uid="{B673863C-975D-4038-8215-8DB324EE2135}"/>
    <cellStyle name="Normal 4 4 2 4 5 4" xfId="10637" xr:uid="{99EC3129-5CA1-4938-BCFD-9B42C5AF15F2}"/>
    <cellStyle name="Normal 4 4 2 4 6" xfId="2542" xr:uid="{00000000-0005-0000-0000-00004F150000}"/>
    <cellStyle name="Normal 4 4 2 4 6 2" xfId="6826" xr:uid="{00000000-0005-0000-0000-000050150000}"/>
    <cellStyle name="Normal 4 4 2 4 6 2 2" xfId="15268" xr:uid="{DCBD0ABF-90C1-4B5C-9C68-13557CBA7A40}"/>
    <cellStyle name="Normal 4 4 2 4 6 3" xfId="11050" xr:uid="{C469D1E6-95B4-4E97-A35F-C492530BD880}"/>
    <cellStyle name="Normal 4 4 2 4 7" xfId="4761" xr:uid="{00000000-0005-0000-0000-000051150000}"/>
    <cellStyle name="Normal 4 4 2 4 7 2" xfId="13203" xr:uid="{E1656EFF-080A-4096-897E-DB81A8C2F33D}"/>
    <cellStyle name="Normal 4 4 2 4 8" xfId="8985" xr:uid="{D2AFF073-10D9-4418-88EF-A80C1E75961F}"/>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96F8B4F0-DE8D-49D4-87FC-A48D11F30B7A}"/>
    <cellStyle name="Normal 4 4 2 5 2 3" xfId="11536" xr:uid="{BA5412D7-1615-4318-8060-6794180B9C56}"/>
    <cellStyle name="Normal 4 4 2 5 3" xfId="5167" xr:uid="{00000000-0005-0000-0000-000055150000}"/>
    <cellStyle name="Normal 4 4 2 5 3 2" xfId="13609" xr:uid="{42FA9D5F-306B-4685-AC8C-C7B99CC4E92B}"/>
    <cellStyle name="Normal 4 4 2 5 4" xfId="9391" xr:uid="{3C9E82F1-5B3E-4070-9749-2D2DC3B4612D}"/>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4A21134D-D094-4BD5-8F80-4A8B47B3DDC5}"/>
    <cellStyle name="Normal 4 4 2 6 2 3" xfId="11949" xr:uid="{076559EE-4113-4A92-87F5-25DFB145ABDD}"/>
    <cellStyle name="Normal 4 4 2 6 3" xfId="5580" xr:uid="{00000000-0005-0000-0000-000059150000}"/>
    <cellStyle name="Normal 4 4 2 6 3 2" xfId="14022" xr:uid="{CA56D2E7-58C1-47B1-ACC8-C4E0BF249335}"/>
    <cellStyle name="Normal 4 4 2 6 4" xfId="9804" xr:uid="{80D098BA-B448-4522-9D0B-DECC0DDD1C00}"/>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3B9A1FBA-026E-47E6-82EB-3A1562DAF86D}"/>
    <cellStyle name="Normal 4 4 2 7 2 3" xfId="12362" xr:uid="{7A30A3C8-5A35-484B-9398-297E7DF4258D}"/>
    <cellStyle name="Normal 4 4 2 7 3" xfId="5993" xr:uid="{00000000-0005-0000-0000-00005D150000}"/>
    <cellStyle name="Normal 4 4 2 7 3 2" xfId="14435" xr:uid="{D82FCC6C-29F9-4B14-B10E-53B181E636A6}"/>
    <cellStyle name="Normal 4 4 2 7 4" xfId="10217" xr:uid="{5321FB34-F1EF-4B46-B6D5-751EB80CB7DC}"/>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D1D7857C-5E8A-4D1A-8BEB-EFB6B9C9BF6B}"/>
    <cellStyle name="Normal 4 4 2 8 2 3" xfId="12775" xr:uid="{36F00DCB-26B3-4C9A-88F5-C599E9212DE1}"/>
    <cellStyle name="Normal 4 4 2 8 3" xfId="6406" xr:uid="{00000000-0005-0000-0000-000061150000}"/>
    <cellStyle name="Normal 4 4 2 8 3 2" xfId="14848" xr:uid="{028E03E9-EB44-4C45-8B9E-42E4557F0DED}"/>
    <cellStyle name="Normal 4 4 2 8 4" xfId="10630" xr:uid="{032DA918-C0D2-46B5-AF50-78B826AFEEE8}"/>
    <cellStyle name="Normal 4 4 2 9" xfId="2535" xr:uid="{00000000-0005-0000-0000-000062150000}"/>
    <cellStyle name="Normal 4 4 2 9 2" xfId="6819" xr:uid="{00000000-0005-0000-0000-000063150000}"/>
    <cellStyle name="Normal 4 4 2 9 2 2" xfId="15261" xr:uid="{7B0A022C-E8F4-42C7-B810-245796E9845B}"/>
    <cellStyle name="Normal 4 4 2 9 3" xfId="11043" xr:uid="{EAE6C7F8-DAA1-43DF-80BC-E01B20EA785A}"/>
    <cellStyle name="Normal 4 4 3" xfId="387" xr:uid="{00000000-0005-0000-0000-000064150000}"/>
    <cellStyle name="Normal 4 4 3 10" xfId="8986" xr:uid="{C0D2F280-65C2-4A6C-B399-598DB7E5695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5CA35F1B-5EBA-4530-A04A-FAD4310C0A96}"/>
    <cellStyle name="Normal 4 4 3 2 2 2 2 3" xfId="11546" xr:uid="{61CAE43E-84B8-429E-8203-B75389417E85}"/>
    <cellStyle name="Normal 4 4 3 2 2 2 3" xfId="5177" xr:uid="{00000000-0005-0000-0000-00006A150000}"/>
    <cellStyle name="Normal 4 4 3 2 2 2 3 2" xfId="13619" xr:uid="{1A56A6F0-598B-460A-AB9E-0C7D34268B99}"/>
    <cellStyle name="Normal 4 4 3 2 2 2 4" xfId="9401" xr:uid="{748AA347-8DA6-4092-8D20-C1FD6EF196AC}"/>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43019C09-70F7-4B23-9371-AE0B168B8FB3}"/>
    <cellStyle name="Normal 4 4 3 2 2 3 2 3" xfId="11959" xr:uid="{216F3EA8-3216-4731-A98B-0447BC279F71}"/>
    <cellStyle name="Normal 4 4 3 2 2 3 3" xfId="5590" xr:uid="{00000000-0005-0000-0000-00006E150000}"/>
    <cellStyle name="Normal 4 4 3 2 2 3 3 2" xfId="14032" xr:uid="{454D2270-6482-453A-A084-A4836D0B9FA4}"/>
    <cellStyle name="Normal 4 4 3 2 2 3 4" xfId="9814" xr:uid="{5C743231-F02A-480D-8B6D-B096240E2212}"/>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0DDE0D00-2461-4626-8771-C43FCE778C2E}"/>
    <cellStyle name="Normal 4 4 3 2 2 4 2 3" xfId="12372" xr:uid="{97C70DDB-087B-4015-8416-B92372B762B0}"/>
    <cellStyle name="Normal 4 4 3 2 2 4 3" xfId="6003" xr:uid="{00000000-0005-0000-0000-000072150000}"/>
    <cellStyle name="Normal 4 4 3 2 2 4 3 2" xfId="14445" xr:uid="{2BBA5847-3E57-4951-B7E5-0F42C8BEDF17}"/>
    <cellStyle name="Normal 4 4 3 2 2 4 4" xfId="10227" xr:uid="{C026A029-39C3-484E-9CE3-C8647A310ED4}"/>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10ED93BC-E0E4-4F6B-9C09-4BD4427256B9}"/>
    <cellStyle name="Normal 4 4 3 2 2 5 2 3" xfId="12785" xr:uid="{90642847-A2CE-4D35-BF7F-F83DEFAC27E0}"/>
    <cellStyle name="Normal 4 4 3 2 2 5 3" xfId="6416" xr:uid="{00000000-0005-0000-0000-000076150000}"/>
    <cellStyle name="Normal 4 4 3 2 2 5 3 2" xfId="14858" xr:uid="{58B6486F-7BC3-4321-AC64-1F8989CCE50F}"/>
    <cellStyle name="Normal 4 4 3 2 2 5 4" xfId="10640" xr:uid="{3D8D6DDA-DE7D-49E9-9298-29CD17139F93}"/>
    <cellStyle name="Normal 4 4 3 2 2 6" xfId="2545" xr:uid="{00000000-0005-0000-0000-000077150000}"/>
    <cellStyle name="Normal 4 4 3 2 2 6 2" xfId="6829" xr:uid="{00000000-0005-0000-0000-000078150000}"/>
    <cellStyle name="Normal 4 4 3 2 2 6 2 2" xfId="15271" xr:uid="{AE2EAE7E-32C2-4DD5-B571-DD3964F0F59E}"/>
    <cellStyle name="Normal 4 4 3 2 2 6 3" xfId="11053" xr:uid="{A2FB805C-15CF-4079-92DF-33E5569AEC80}"/>
    <cellStyle name="Normal 4 4 3 2 2 7" xfId="4764" xr:uid="{00000000-0005-0000-0000-000079150000}"/>
    <cellStyle name="Normal 4 4 3 2 2 7 2" xfId="13206" xr:uid="{1FB6D256-2E82-4937-892E-8784EC680C1C}"/>
    <cellStyle name="Normal 4 4 3 2 2 8" xfId="8988" xr:uid="{ACC5299F-BDE9-45A0-9AD2-D260E9D7523C}"/>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48F35083-8C37-4741-B353-9451FF5CDAB5}"/>
    <cellStyle name="Normal 4 4 3 2 3 2 3" xfId="11545" xr:uid="{F2890586-0038-4A68-8196-DFD662319651}"/>
    <cellStyle name="Normal 4 4 3 2 3 3" xfId="5176" xr:uid="{00000000-0005-0000-0000-00007D150000}"/>
    <cellStyle name="Normal 4 4 3 2 3 3 2" xfId="13618" xr:uid="{510D2DE0-2C9B-4E39-A5EC-6F3949D15AFE}"/>
    <cellStyle name="Normal 4 4 3 2 3 4" xfId="9400" xr:uid="{4A671754-9B1C-4217-B60B-A862E9C71D21}"/>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1A405E81-9E58-41C0-A708-0281AF35B697}"/>
    <cellStyle name="Normal 4 4 3 2 4 2 3" xfId="11958" xr:uid="{944EF6B7-820C-4066-ACF2-5871B9D20B74}"/>
    <cellStyle name="Normal 4 4 3 2 4 3" xfId="5589" xr:uid="{00000000-0005-0000-0000-000081150000}"/>
    <cellStyle name="Normal 4 4 3 2 4 3 2" xfId="14031" xr:uid="{473E8163-B7AA-4AC4-9291-B50742903024}"/>
    <cellStyle name="Normal 4 4 3 2 4 4" xfId="9813" xr:uid="{C5AF1AD9-561C-486E-8346-53CDFAE4A066}"/>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287A9264-E150-43FA-A258-01F48F974535}"/>
    <cellStyle name="Normal 4 4 3 2 5 2 3" xfId="12371" xr:uid="{747BFF2E-3252-4BA9-8F37-1E02096C0BD0}"/>
    <cellStyle name="Normal 4 4 3 2 5 3" xfId="6002" xr:uid="{00000000-0005-0000-0000-000085150000}"/>
    <cellStyle name="Normal 4 4 3 2 5 3 2" xfId="14444" xr:uid="{2E58ABB9-3977-4A5E-95F9-BB4FDC9D8C68}"/>
    <cellStyle name="Normal 4 4 3 2 5 4" xfId="10226" xr:uid="{0C947704-7D98-4978-9A58-EF3446C09B88}"/>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3AB12C35-AEFF-47C8-B5B4-27DC3AB09768}"/>
    <cellStyle name="Normal 4 4 3 2 6 2 3" xfId="12784" xr:uid="{3FE97C7A-64FE-49DB-8AB7-9478EBCD186F}"/>
    <cellStyle name="Normal 4 4 3 2 6 3" xfId="6415" xr:uid="{00000000-0005-0000-0000-000089150000}"/>
    <cellStyle name="Normal 4 4 3 2 6 3 2" xfId="14857" xr:uid="{86DD6FBD-DE62-4500-9DF4-489CE7E83763}"/>
    <cellStyle name="Normal 4 4 3 2 6 4" xfId="10639" xr:uid="{812B979B-8576-4092-BF7B-A8388F0F8596}"/>
    <cellStyle name="Normal 4 4 3 2 7" xfId="2544" xr:uid="{00000000-0005-0000-0000-00008A150000}"/>
    <cellStyle name="Normal 4 4 3 2 7 2" xfId="6828" xr:uid="{00000000-0005-0000-0000-00008B150000}"/>
    <cellStyle name="Normal 4 4 3 2 7 2 2" xfId="15270" xr:uid="{D18A2429-851F-4979-9CB6-812FABD34549}"/>
    <cellStyle name="Normal 4 4 3 2 7 3" xfId="11052" xr:uid="{6DFBC1B3-4387-4613-8430-18B7122BBAC0}"/>
    <cellStyle name="Normal 4 4 3 2 8" xfId="4763" xr:uid="{00000000-0005-0000-0000-00008C150000}"/>
    <cellStyle name="Normal 4 4 3 2 8 2" xfId="13205" xr:uid="{3F0F18D1-6687-4D9A-AC15-F17706E6E31D}"/>
    <cellStyle name="Normal 4 4 3 2 9" xfId="8987" xr:uid="{EEBD519C-2950-483E-A92B-AE6416FAC515}"/>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9BD1C01C-6245-4C63-924D-5BFD17674DE7}"/>
    <cellStyle name="Normal 4 4 3 3 2 2 3" xfId="11547" xr:uid="{D0188498-1B85-4FC0-AF9C-C66644D5CBF9}"/>
    <cellStyle name="Normal 4 4 3 3 2 3" xfId="5178" xr:uid="{00000000-0005-0000-0000-000091150000}"/>
    <cellStyle name="Normal 4 4 3 3 2 3 2" xfId="13620" xr:uid="{44C12C6B-6FDE-416A-B14E-343BE7638FF4}"/>
    <cellStyle name="Normal 4 4 3 3 2 4" xfId="9402" xr:uid="{AFC090F7-D090-4CE8-BEDE-011D5721B82C}"/>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9231924D-29C7-4BF1-9F40-E1D8CFCA745E}"/>
    <cellStyle name="Normal 4 4 3 3 3 2 3" xfId="11960" xr:uid="{7641ACAD-F599-4098-A4E0-AC0AF4F58E5A}"/>
    <cellStyle name="Normal 4 4 3 3 3 3" xfId="5591" xr:uid="{00000000-0005-0000-0000-000095150000}"/>
    <cellStyle name="Normal 4 4 3 3 3 3 2" xfId="14033" xr:uid="{A5EDFE60-D7F6-4622-9601-EBF88F705529}"/>
    <cellStyle name="Normal 4 4 3 3 3 4" xfId="9815" xr:uid="{D1BE8284-8FFA-4401-8BE3-EB8C521ED8EA}"/>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B109BED0-9943-4A58-87CD-A2F61C84AE32}"/>
    <cellStyle name="Normal 4 4 3 3 4 2 3" xfId="12373" xr:uid="{271F17F6-95ED-47D1-BD11-CBF5F4EA28F0}"/>
    <cellStyle name="Normal 4 4 3 3 4 3" xfId="6004" xr:uid="{00000000-0005-0000-0000-000099150000}"/>
    <cellStyle name="Normal 4 4 3 3 4 3 2" xfId="14446" xr:uid="{9E8D6767-098C-4F83-AF91-E12BEEA0D14C}"/>
    <cellStyle name="Normal 4 4 3 3 4 4" xfId="10228" xr:uid="{33C98AFB-A3D7-4D91-ACE4-B3F83496E00B}"/>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66ADD2F5-EE94-4924-B2A0-112D214027B2}"/>
    <cellStyle name="Normal 4 4 3 3 5 2 3" xfId="12786" xr:uid="{131E45FE-8838-4DB0-BB1C-64E588CD8B0C}"/>
    <cellStyle name="Normal 4 4 3 3 5 3" xfId="6417" xr:uid="{00000000-0005-0000-0000-00009D150000}"/>
    <cellStyle name="Normal 4 4 3 3 5 3 2" xfId="14859" xr:uid="{3617A636-40A2-4C41-A337-E478B5D93EC6}"/>
    <cellStyle name="Normal 4 4 3 3 5 4" xfId="10641" xr:uid="{79459FEB-2931-44F7-95DE-3D746A0A62F2}"/>
    <cellStyle name="Normal 4 4 3 3 6" xfId="2546" xr:uid="{00000000-0005-0000-0000-00009E150000}"/>
    <cellStyle name="Normal 4 4 3 3 6 2" xfId="6830" xr:uid="{00000000-0005-0000-0000-00009F150000}"/>
    <cellStyle name="Normal 4 4 3 3 6 2 2" xfId="15272" xr:uid="{26FC39E0-8C50-4E7D-8585-16DC6815699D}"/>
    <cellStyle name="Normal 4 4 3 3 6 3" xfId="11054" xr:uid="{63BCB216-B7EF-4F28-8D17-B2B1BD7751C7}"/>
    <cellStyle name="Normal 4 4 3 3 7" xfId="4765" xr:uid="{00000000-0005-0000-0000-0000A0150000}"/>
    <cellStyle name="Normal 4 4 3 3 7 2" xfId="13207" xr:uid="{98F4F4BF-E9F4-4A01-A49F-61BB24496BD6}"/>
    <cellStyle name="Normal 4 4 3 3 8" xfId="8989" xr:uid="{6DC02179-5C71-4A3E-A7DD-4DEF9D0406D0}"/>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A99F654A-1CE1-4B58-8FE8-191EF9DF34F4}"/>
    <cellStyle name="Normal 4 4 3 4 2 3" xfId="11544" xr:uid="{326CBD0B-0D60-4B6E-AD14-7D4D62CCBD38}"/>
    <cellStyle name="Normal 4 4 3 4 3" xfId="5175" xr:uid="{00000000-0005-0000-0000-0000A4150000}"/>
    <cellStyle name="Normal 4 4 3 4 3 2" xfId="13617" xr:uid="{A2E65AED-8D8C-44CF-A08C-8313073270E4}"/>
    <cellStyle name="Normal 4 4 3 4 4" xfId="9399" xr:uid="{1A0386F4-1885-42C5-A8D8-374E7242145A}"/>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AABF1308-9818-4137-BBA5-930A6D6D21E1}"/>
    <cellStyle name="Normal 4 4 3 5 2 3" xfId="11957" xr:uid="{5748C40F-1DDC-441D-9128-7368C5EAA541}"/>
    <cellStyle name="Normal 4 4 3 5 3" xfId="5588" xr:uid="{00000000-0005-0000-0000-0000A8150000}"/>
    <cellStyle name="Normal 4 4 3 5 3 2" xfId="14030" xr:uid="{78BC877F-3F3F-4248-852F-C718B0D1E348}"/>
    <cellStyle name="Normal 4 4 3 5 4" xfId="9812" xr:uid="{6F3D7D3F-EC6B-425D-B213-2B5F9402E635}"/>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7E8C1A08-B51C-4205-88A0-A90C39CBF740}"/>
    <cellStyle name="Normal 4 4 3 6 2 3" xfId="12370" xr:uid="{3F56B5D3-D862-4A15-9582-FE8272734C25}"/>
    <cellStyle name="Normal 4 4 3 6 3" xfId="6001" xr:uid="{00000000-0005-0000-0000-0000AC150000}"/>
    <cellStyle name="Normal 4 4 3 6 3 2" xfId="14443" xr:uid="{5DFA01EF-E921-46E3-9BBC-F3016C5CECFB}"/>
    <cellStyle name="Normal 4 4 3 6 4" xfId="10225" xr:uid="{AF13FDDF-CC2B-4F38-9BF5-1B5A130AB749}"/>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1B308A3A-C1EF-449C-9C11-FB81883893BA}"/>
    <cellStyle name="Normal 4 4 3 7 2 3" xfId="12783" xr:uid="{B54457CD-50E9-4DA9-954F-7291D50E0DF6}"/>
    <cellStyle name="Normal 4 4 3 7 3" xfId="6414" xr:uid="{00000000-0005-0000-0000-0000B0150000}"/>
    <cellStyle name="Normal 4 4 3 7 3 2" xfId="14856" xr:uid="{AAA91039-C83B-4510-A672-065562CC662E}"/>
    <cellStyle name="Normal 4 4 3 7 4" xfId="10638" xr:uid="{296A519B-F58B-44CE-AC2B-FBECD0926EDB}"/>
    <cellStyle name="Normal 4 4 3 8" xfId="2543" xr:uid="{00000000-0005-0000-0000-0000B1150000}"/>
    <cellStyle name="Normal 4 4 3 8 2" xfId="6827" xr:uid="{00000000-0005-0000-0000-0000B2150000}"/>
    <cellStyle name="Normal 4 4 3 8 2 2" xfId="15269" xr:uid="{E5DDFA9B-7C34-49E9-B569-240FB7C0DCE7}"/>
    <cellStyle name="Normal 4 4 3 8 3" xfId="11051" xr:uid="{1F09EF2B-75FE-4CE2-9C1A-1F97F04AA647}"/>
    <cellStyle name="Normal 4 4 3 9" xfId="4762" xr:uid="{00000000-0005-0000-0000-0000B3150000}"/>
    <cellStyle name="Normal 4 4 3 9 2" xfId="13204" xr:uid="{20698842-39C9-4370-837A-286964743887}"/>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5F7CF9A7-424C-467A-816A-643FDC1FB58A}"/>
    <cellStyle name="Normal 4 4 4 2 2 2 3" xfId="11549" xr:uid="{3CEC5B88-2ED8-4A2F-8911-4DA4B888647A}"/>
    <cellStyle name="Normal 4 4 4 2 2 3" xfId="5180" xr:uid="{00000000-0005-0000-0000-0000B9150000}"/>
    <cellStyle name="Normal 4 4 4 2 2 3 2" xfId="13622" xr:uid="{B86EEB5E-D656-4D8B-8A09-09EA750CA23F}"/>
    <cellStyle name="Normal 4 4 4 2 2 4" xfId="9404" xr:uid="{87BC9CE7-0543-40EF-9843-7D2C1F34731C}"/>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003CDB9C-2935-4729-9DFE-3CA3946BB043}"/>
    <cellStyle name="Normal 4 4 4 2 3 2 3" xfId="11962" xr:uid="{843C28DC-E0AE-4B01-9011-CC2127C2CCF8}"/>
    <cellStyle name="Normal 4 4 4 2 3 3" xfId="5593" xr:uid="{00000000-0005-0000-0000-0000BD150000}"/>
    <cellStyle name="Normal 4 4 4 2 3 3 2" xfId="14035" xr:uid="{9AD2CA46-010A-4525-9E9D-D9785799A7EC}"/>
    <cellStyle name="Normal 4 4 4 2 3 4" xfId="9817" xr:uid="{846D16C6-AB9D-4F9F-9A8D-928C31EEB675}"/>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31D4CF66-BE0E-459C-9895-12716450ED08}"/>
    <cellStyle name="Normal 4 4 4 2 4 2 3" xfId="12375" xr:uid="{B0AC01FE-A6D2-478F-9198-E5030C6A256B}"/>
    <cellStyle name="Normal 4 4 4 2 4 3" xfId="6006" xr:uid="{00000000-0005-0000-0000-0000C1150000}"/>
    <cellStyle name="Normal 4 4 4 2 4 3 2" xfId="14448" xr:uid="{2C42B824-0A72-4009-BE9D-A57007738ADF}"/>
    <cellStyle name="Normal 4 4 4 2 4 4" xfId="10230" xr:uid="{0E21DF04-6C03-4F59-9F24-F366DAD46982}"/>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5E714165-5428-4102-A347-E20E85A91229}"/>
    <cellStyle name="Normal 4 4 4 2 5 2 3" xfId="12788" xr:uid="{6EBAF44B-3A0D-43B3-B28F-4BEF706DBBAE}"/>
    <cellStyle name="Normal 4 4 4 2 5 3" xfId="6419" xr:uid="{00000000-0005-0000-0000-0000C5150000}"/>
    <cellStyle name="Normal 4 4 4 2 5 3 2" xfId="14861" xr:uid="{86EA0F4D-4953-46AA-80DD-7B62CF5962D4}"/>
    <cellStyle name="Normal 4 4 4 2 5 4" xfId="10643" xr:uid="{C1975D53-597E-4372-9C3F-AF26523BFE3B}"/>
    <cellStyle name="Normal 4 4 4 2 6" xfId="2548" xr:uid="{00000000-0005-0000-0000-0000C6150000}"/>
    <cellStyle name="Normal 4 4 4 2 6 2" xfId="6832" xr:uid="{00000000-0005-0000-0000-0000C7150000}"/>
    <cellStyle name="Normal 4 4 4 2 6 2 2" xfId="15274" xr:uid="{4881DA97-F0F2-4D24-8AC5-8D8C2DF4872D}"/>
    <cellStyle name="Normal 4 4 4 2 6 3" xfId="11056" xr:uid="{789FD7D6-1931-4090-A58C-8A6E5F95D406}"/>
    <cellStyle name="Normal 4 4 4 2 7" xfId="4767" xr:uid="{00000000-0005-0000-0000-0000C8150000}"/>
    <cellStyle name="Normal 4 4 4 2 7 2" xfId="13209" xr:uid="{EF87400A-D4E5-44BA-AA0A-3FC01058F34C}"/>
    <cellStyle name="Normal 4 4 4 2 8" xfId="8991" xr:uid="{769942BA-82CB-414C-A4D0-17849B6B98F2}"/>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2BEBDA57-2742-4B0E-B2EB-7532BA485D54}"/>
    <cellStyle name="Normal 4 4 4 3 2 3" xfId="11548" xr:uid="{9C72777F-9474-442D-8729-6DA4DA31A459}"/>
    <cellStyle name="Normal 4 4 4 3 3" xfId="5179" xr:uid="{00000000-0005-0000-0000-0000CC150000}"/>
    <cellStyle name="Normal 4 4 4 3 3 2" xfId="13621" xr:uid="{5532A5F6-6B60-4289-B532-F8B9B19A2A74}"/>
    <cellStyle name="Normal 4 4 4 3 4" xfId="9403" xr:uid="{801F6693-8FFA-496F-9DC2-2F296DCB848E}"/>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63F5FC28-3E05-458D-8B7B-37F9B78EA21A}"/>
    <cellStyle name="Normal 4 4 4 4 2 3" xfId="11961" xr:uid="{E476F3AE-43BB-4732-B166-8DE9B6F12361}"/>
    <cellStyle name="Normal 4 4 4 4 3" xfId="5592" xr:uid="{00000000-0005-0000-0000-0000D0150000}"/>
    <cellStyle name="Normal 4 4 4 4 3 2" xfId="14034" xr:uid="{CB091C96-73BE-40FF-89C2-803D9E1B21A3}"/>
    <cellStyle name="Normal 4 4 4 4 4" xfId="9816" xr:uid="{B4614A8D-784A-49FA-A199-391322E8BF4D}"/>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F4063A90-850A-4549-B260-BFA86E3EA780}"/>
    <cellStyle name="Normal 4 4 4 5 2 3" xfId="12374" xr:uid="{1B74B16F-3CF9-47CA-A5A4-826EB5BAF967}"/>
    <cellStyle name="Normal 4 4 4 5 3" xfId="6005" xr:uid="{00000000-0005-0000-0000-0000D4150000}"/>
    <cellStyle name="Normal 4 4 4 5 3 2" xfId="14447" xr:uid="{B57DE917-9D59-4B06-9AD4-8FB1DA908FDC}"/>
    <cellStyle name="Normal 4 4 4 5 4" xfId="10229" xr:uid="{E0A417A2-3409-4316-B6F2-91A409558151}"/>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902B591E-EE03-44E7-A8FB-2ED17B94C0A9}"/>
    <cellStyle name="Normal 4 4 4 6 2 3" xfId="12787" xr:uid="{51711CBE-EAED-44D3-822F-28103221558B}"/>
    <cellStyle name="Normal 4 4 4 6 3" xfId="6418" xr:uid="{00000000-0005-0000-0000-0000D8150000}"/>
    <cellStyle name="Normal 4 4 4 6 3 2" xfId="14860" xr:uid="{2C54FD3B-98BA-4011-A080-DBB0329A7A4B}"/>
    <cellStyle name="Normal 4 4 4 6 4" xfId="10642" xr:uid="{DF2BB3DB-5E2A-4479-9456-9FD3F5EAC3E9}"/>
    <cellStyle name="Normal 4 4 4 7" xfId="2547" xr:uid="{00000000-0005-0000-0000-0000D9150000}"/>
    <cellStyle name="Normal 4 4 4 7 2" xfId="6831" xr:uid="{00000000-0005-0000-0000-0000DA150000}"/>
    <cellStyle name="Normal 4 4 4 7 2 2" xfId="15273" xr:uid="{BD2A6073-F8C0-46BA-81E2-E49A8E19AB74}"/>
    <cellStyle name="Normal 4 4 4 7 3" xfId="11055" xr:uid="{11AB4DFE-2656-4000-A14B-E91DE78702B6}"/>
    <cellStyle name="Normal 4 4 4 8" xfId="4766" xr:uid="{00000000-0005-0000-0000-0000DB150000}"/>
    <cellStyle name="Normal 4 4 4 8 2" xfId="13208" xr:uid="{34DF5E8C-DAD4-4E42-BEB1-281E42BE8957}"/>
    <cellStyle name="Normal 4 4 4 9" xfId="8990" xr:uid="{5026710E-2689-4AAE-A7FE-F7F81B2696AB}"/>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669BE30C-4B2A-4024-B654-20D8DBD77F9B}"/>
    <cellStyle name="Normal 4 4 5 2 2 3" xfId="11550" xr:uid="{A2C6BCDC-F590-4B08-A3DD-42E3A73928D8}"/>
    <cellStyle name="Normal 4 4 5 2 3" xfId="5181" xr:uid="{00000000-0005-0000-0000-0000E0150000}"/>
    <cellStyle name="Normal 4 4 5 2 3 2" xfId="13623" xr:uid="{9BBD4E3A-11DC-4DA7-AACB-DA5D702E44FB}"/>
    <cellStyle name="Normal 4 4 5 2 4" xfId="9405" xr:uid="{0B4FA6A7-316D-4D8F-BD97-636D7F02CDB1}"/>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BF1F75C0-9F46-4A96-A2D3-EC528A5D324B}"/>
    <cellStyle name="Normal 4 4 5 3 2 3" xfId="11963" xr:uid="{DB1CD891-BA07-4CE7-AA12-87C4FA918888}"/>
    <cellStyle name="Normal 4 4 5 3 3" xfId="5594" xr:uid="{00000000-0005-0000-0000-0000E4150000}"/>
    <cellStyle name="Normal 4 4 5 3 3 2" xfId="14036" xr:uid="{C5E109BE-55DA-442B-B5E8-A5009D041626}"/>
    <cellStyle name="Normal 4 4 5 3 4" xfId="9818" xr:uid="{A4CDDC9B-05DF-4A04-B510-EB25F6C1DC05}"/>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187C29BD-B5F9-4C9E-BE99-27F5902653AE}"/>
    <cellStyle name="Normal 4 4 5 4 2 3" xfId="12376" xr:uid="{13E7651B-7C64-4825-BB70-8CD3DFD4C608}"/>
    <cellStyle name="Normal 4 4 5 4 3" xfId="6007" xr:uid="{00000000-0005-0000-0000-0000E8150000}"/>
    <cellStyle name="Normal 4 4 5 4 3 2" xfId="14449" xr:uid="{412A0B22-C4FA-4121-91FE-A653B6A2A34C}"/>
    <cellStyle name="Normal 4 4 5 4 4" xfId="10231" xr:uid="{11929635-F047-44A5-9C90-B747E14997FB}"/>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2214EEE-7260-4D3D-BE60-6BA3EBCE77F9}"/>
    <cellStyle name="Normal 4 4 5 5 2 3" xfId="12789" xr:uid="{401C43FB-9E78-454D-B7D6-E5B21A37BB2E}"/>
    <cellStyle name="Normal 4 4 5 5 3" xfId="6420" xr:uid="{00000000-0005-0000-0000-0000EC150000}"/>
    <cellStyle name="Normal 4 4 5 5 3 2" xfId="14862" xr:uid="{B677E625-9533-47F5-A938-F2F62C2C8861}"/>
    <cellStyle name="Normal 4 4 5 5 4" xfId="10644" xr:uid="{6928FC34-66FD-41BE-85CF-41953DE7E05F}"/>
    <cellStyle name="Normal 4 4 5 6" xfId="2549" xr:uid="{00000000-0005-0000-0000-0000ED150000}"/>
    <cellStyle name="Normal 4 4 5 6 2" xfId="6833" xr:uid="{00000000-0005-0000-0000-0000EE150000}"/>
    <cellStyle name="Normal 4 4 5 6 2 2" xfId="15275" xr:uid="{28EB836A-1B7A-4F2A-9F87-A2F69FA70200}"/>
    <cellStyle name="Normal 4 4 5 6 3" xfId="11057" xr:uid="{3B2FF8B3-382F-45BC-9B0D-9E7131745598}"/>
    <cellStyle name="Normal 4 4 5 7" xfId="4768" xr:uid="{00000000-0005-0000-0000-0000EF150000}"/>
    <cellStyle name="Normal 4 4 5 7 2" xfId="13210" xr:uid="{543D4BA3-6C12-4D54-8F03-079A24487AAB}"/>
    <cellStyle name="Normal 4 4 5 8" xfId="8992" xr:uid="{BD85EBB5-6C91-4204-B25A-1D513ADBE6B7}"/>
    <cellStyle name="Normal 4 4 6" xfId="853" xr:uid="{00000000-0005-0000-0000-0000F0150000}"/>
    <cellStyle name="Normal 4 4 6 2" xfId="3088" xr:uid="{00000000-0005-0000-0000-0000F1150000}"/>
    <cellStyle name="Normal 4 4 6 2 2" xfId="7311" xr:uid="{00000000-0005-0000-0000-0000F2150000}"/>
    <cellStyle name="Normal 4 4 6 2 2 2" xfId="15753" xr:uid="{45493EBF-D0AA-45F7-A320-DBDA9105D298}"/>
    <cellStyle name="Normal 4 4 6 2 3" xfId="11535" xr:uid="{B489DD1D-2EBB-4755-978E-4C3E6581CF72}"/>
    <cellStyle name="Normal 4 4 6 3" xfId="5166" xr:uid="{00000000-0005-0000-0000-0000F3150000}"/>
    <cellStyle name="Normal 4 4 6 3 2" xfId="13608" xr:uid="{B6F3A085-FC46-489E-B734-6FB7880512F4}"/>
    <cellStyle name="Normal 4 4 6 4" xfId="9390" xr:uid="{3C121FF3-3C11-41C0-93D5-BEDD1EBB3E26}"/>
    <cellStyle name="Normal 4 4 7" xfId="1271" xr:uid="{00000000-0005-0000-0000-0000F4150000}"/>
    <cellStyle name="Normal 4 4 7 2" xfId="3501" xr:uid="{00000000-0005-0000-0000-0000F5150000}"/>
    <cellStyle name="Normal 4 4 7 2 2" xfId="7724" xr:uid="{00000000-0005-0000-0000-0000F6150000}"/>
    <cellStyle name="Normal 4 4 7 2 2 2" xfId="16166" xr:uid="{BAB03203-2823-4414-8126-E3D8F1EE206C}"/>
    <cellStyle name="Normal 4 4 7 2 3" xfId="11948" xr:uid="{D4D3FE3D-F4ED-4E71-91C3-68B1565B5A3B}"/>
    <cellStyle name="Normal 4 4 7 3" xfId="5579" xr:uid="{00000000-0005-0000-0000-0000F7150000}"/>
    <cellStyle name="Normal 4 4 7 3 2" xfId="14021" xr:uid="{62A60D02-BE7B-4DFA-99C1-DCEFD658BBCF}"/>
    <cellStyle name="Normal 4 4 7 4" xfId="9803" xr:uid="{592F04B3-A8A3-4F76-8CC3-2E966567E720}"/>
    <cellStyle name="Normal 4 4 8" xfId="1684" xr:uid="{00000000-0005-0000-0000-0000F8150000}"/>
    <cellStyle name="Normal 4 4 8 2" xfId="3914" xr:uid="{00000000-0005-0000-0000-0000F9150000}"/>
    <cellStyle name="Normal 4 4 8 2 2" xfId="8137" xr:uid="{00000000-0005-0000-0000-0000FA150000}"/>
    <cellStyle name="Normal 4 4 8 2 2 2" xfId="16579" xr:uid="{0C873215-E462-40F4-AFE5-2422BEC5232B}"/>
    <cellStyle name="Normal 4 4 8 2 3" xfId="12361" xr:uid="{B3B3E787-B477-4421-B4B2-CCFC21472B3C}"/>
    <cellStyle name="Normal 4 4 8 3" xfId="5992" xr:uid="{00000000-0005-0000-0000-0000FB150000}"/>
    <cellStyle name="Normal 4 4 8 3 2" xfId="14434" xr:uid="{217F983F-5A46-4352-BA85-DED91002CE97}"/>
    <cellStyle name="Normal 4 4 8 4" xfId="10216" xr:uid="{9CD6B243-F9DC-413E-8DC7-F053D2E43F24}"/>
    <cellStyle name="Normal 4 4 9" xfId="2098" xr:uid="{00000000-0005-0000-0000-0000FC150000}"/>
    <cellStyle name="Normal 4 4 9 2" xfId="4327" xr:uid="{00000000-0005-0000-0000-0000FD150000}"/>
    <cellStyle name="Normal 4 4 9 2 2" xfId="8550" xr:uid="{00000000-0005-0000-0000-0000FE150000}"/>
    <cellStyle name="Normal 4 4 9 2 2 2" xfId="16992" xr:uid="{4814FC87-5777-456B-A9F3-ECBA159CA741}"/>
    <cellStyle name="Normal 4 4 9 2 3" xfId="12774" xr:uid="{B14CBBDB-5062-4985-9895-65D1A62E2E10}"/>
    <cellStyle name="Normal 4 4 9 3" xfId="6405" xr:uid="{00000000-0005-0000-0000-0000FF150000}"/>
    <cellStyle name="Normal 4 4 9 3 2" xfId="14847" xr:uid="{5D4D5DCF-4F8B-40D0-AB9E-78412EBBCB7D}"/>
    <cellStyle name="Normal 4 4 9 4" xfId="10629" xr:uid="{78420B6B-C367-4ED0-B9F1-95BAF7E4135A}"/>
    <cellStyle name="Normal 4 5" xfId="394" xr:uid="{00000000-0005-0000-0000-000000160000}"/>
    <cellStyle name="Normal 4 6" xfId="395" xr:uid="{00000000-0005-0000-0000-000001160000}"/>
    <cellStyle name="Normal 4 6 10" xfId="4769" xr:uid="{00000000-0005-0000-0000-000002160000}"/>
    <cellStyle name="Normal 4 6 10 2" xfId="13211" xr:uid="{99E6A388-5A5A-4B57-AFD5-124FE9536728}"/>
    <cellStyle name="Normal 4 6 11" xfId="8993" xr:uid="{8C3FFDF2-60CC-407E-AB75-95511F7965C1}"/>
    <cellStyle name="Normal 4 6 2" xfId="396" xr:uid="{00000000-0005-0000-0000-000003160000}"/>
    <cellStyle name="Normal 4 6 2 10" xfId="8994" xr:uid="{6036A3F1-A232-4FD9-8F2B-AA19EA97D36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E6C7F0C6-B1C6-429B-B0B8-36C31B5DF065}"/>
    <cellStyle name="Normal 4 6 2 2 2 2 2 3" xfId="11554" xr:uid="{EBDC001E-CFD8-45B6-90B1-BF63443E0A48}"/>
    <cellStyle name="Normal 4 6 2 2 2 2 3" xfId="5185" xr:uid="{00000000-0005-0000-0000-000009160000}"/>
    <cellStyle name="Normal 4 6 2 2 2 2 3 2" xfId="13627" xr:uid="{52E71E6B-D5F3-44A3-8D65-7CB0DB35BEF8}"/>
    <cellStyle name="Normal 4 6 2 2 2 2 4" xfId="9409" xr:uid="{51BA3F1D-D5F5-43EA-A82F-266F16E3CD8E}"/>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BD8CB996-0ED0-46E6-98B6-25407CA58082}"/>
    <cellStyle name="Normal 4 6 2 2 2 3 2 3" xfId="11967" xr:uid="{C9F12014-7257-4BF3-A328-830045DAC7B0}"/>
    <cellStyle name="Normal 4 6 2 2 2 3 3" xfId="5598" xr:uid="{00000000-0005-0000-0000-00000D160000}"/>
    <cellStyle name="Normal 4 6 2 2 2 3 3 2" xfId="14040" xr:uid="{C5FBB405-E3CB-4296-8681-A654A17C7EA4}"/>
    <cellStyle name="Normal 4 6 2 2 2 3 4" xfId="9822" xr:uid="{F5BE5229-748F-4D3E-B2B0-85094CE6E02F}"/>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4921A478-7FCE-473C-B0FF-7FC10F4C6C93}"/>
    <cellStyle name="Normal 4 6 2 2 2 4 2 3" xfId="12380" xr:uid="{7E7B9583-26CF-4D05-B454-0416C2188E00}"/>
    <cellStyle name="Normal 4 6 2 2 2 4 3" xfId="6011" xr:uid="{00000000-0005-0000-0000-000011160000}"/>
    <cellStyle name="Normal 4 6 2 2 2 4 3 2" xfId="14453" xr:uid="{C0CAC998-28A7-46F9-95C4-888A1D6C9CFD}"/>
    <cellStyle name="Normal 4 6 2 2 2 4 4" xfId="10235" xr:uid="{936B5AB7-545E-4194-AC72-0B6400F4EE28}"/>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6A47C791-63A0-4B4D-A384-5656676F4ACB}"/>
    <cellStyle name="Normal 4 6 2 2 2 5 2 3" xfId="12793" xr:uid="{DE847621-6A66-46D9-872C-DEB709154149}"/>
    <cellStyle name="Normal 4 6 2 2 2 5 3" xfId="6424" xr:uid="{00000000-0005-0000-0000-000015160000}"/>
    <cellStyle name="Normal 4 6 2 2 2 5 3 2" xfId="14866" xr:uid="{D36575EE-37CC-4275-896B-6CFFE07DC202}"/>
    <cellStyle name="Normal 4 6 2 2 2 5 4" xfId="10648" xr:uid="{292C28B2-7DD9-4E4D-832E-951DA620D5DC}"/>
    <cellStyle name="Normal 4 6 2 2 2 6" xfId="2553" xr:uid="{00000000-0005-0000-0000-000016160000}"/>
    <cellStyle name="Normal 4 6 2 2 2 6 2" xfId="6837" xr:uid="{00000000-0005-0000-0000-000017160000}"/>
    <cellStyle name="Normal 4 6 2 2 2 6 2 2" xfId="15279" xr:uid="{CDB3D0A3-5A9B-408A-B00F-3CBFA9FDCCCA}"/>
    <cellStyle name="Normal 4 6 2 2 2 6 3" xfId="11061" xr:uid="{35AD0685-23DD-4BD6-84EB-072CFA9253AF}"/>
    <cellStyle name="Normal 4 6 2 2 2 7" xfId="4772" xr:uid="{00000000-0005-0000-0000-000018160000}"/>
    <cellStyle name="Normal 4 6 2 2 2 7 2" xfId="13214" xr:uid="{FE358248-4A05-4E02-BF9C-26974614993A}"/>
    <cellStyle name="Normal 4 6 2 2 2 8" xfId="8996" xr:uid="{4EC2BCB5-68E6-44E2-974D-B16460F0B21C}"/>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9CA55FD-6E16-42DA-A023-F9E21B1A185F}"/>
    <cellStyle name="Normal 4 6 2 2 3 2 3" xfId="11553" xr:uid="{E5122EAC-1FE5-4E93-9EFF-C9DE8EF9FCE0}"/>
    <cellStyle name="Normal 4 6 2 2 3 3" xfId="5184" xr:uid="{00000000-0005-0000-0000-00001C160000}"/>
    <cellStyle name="Normal 4 6 2 2 3 3 2" xfId="13626" xr:uid="{72347D9A-E9F7-4E2E-B1AD-F503C2C5B460}"/>
    <cellStyle name="Normal 4 6 2 2 3 4" xfId="9408" xr:uid="{C350428F-30E5-4E57-B885-D7602C05B766}"/>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58171612-E3A3-4319-AD68-88627A0C68A0}"/>
    <cellStyle name="Normal 4 6 2 2 4 2 3" xfId="11966" xr:uid="{3E6A2F3F-0F2F-437A-8463-D6A74CCDCD60}"/>
    <cellStyle name="Normal 4 6 2 2 4 3" xfId="5597" xr:uid="{00000000-0005-0000-0000-000020160000}"/>
    <cellStyle name="Normal 4 6 2 2 4 3 2" xfId="14039" xr:uid="{23737B1D-27DA-4280-9DC6-1F19E76B4F7E}"/>
    <cellStyle name="Normal 4 6 2 2 4 4" xfId="9821" xr:uid="{E5410465-4C75-4140-96C8-35342FACF465}"/>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B54708A4-809F-4056-BF3D-627F33AE761B}"/>
    <cellStyle name="Normal 4 6 2 2 5 2 3" xfId="12379" xr:uid="{BC9E4C60-BFFA-4E23-B7BC-C1B86A6C756B}"/>
    <cellStyle name="Normal 4 6 2 2 5 3" xfId="6010" xr:uid="{00000000-0005-0000-0000-000024160000}"/>
    <cellStyle name="Normal 4 6 2 2 5 3 2" xfId="14452" xr:uid="{9D0EA0F8-607C-4524-88D3-8D3F1FB807EA}"/>
    <cellStyle name="Normal 4 6 2 2 5 4" xfId="10234" xr:uid="{B316964C-23C5-49F5-95F3-C5547867512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BB211604-FAD3-42D8-BD79-42F2767A382C}"/>
    <cellStyle name="Normal 4 6 2 2 6 2 3" xfId="12792" xr:uid="{D74E92F3-3D8E-4F61-9C98-FFAB3E4D4D75}"/>
    <cellStyle name="Normal 4 6 2 2 6 3" xfId="6423" xr:uid="{00000000-0005-0000-0000-000028160000}"/>
    <cellStyle name="Normal 4 6 2 2 6 3 2" xfId="14865" xr:uid="{4CC45492-D8B4-403C-992A-177845951A67}"/>
    <cellStyle name="Normal 4 6 2 2 6 4" xfId="10647" xr:uid="{675323F2-7D26-43DE-8F36-F3CFE17939CE}"/>
    <cellStyle name="Normal 4 6 2 2 7" xfId="2552" xr:uid="{00000000-0005-0000-0000-000029160000}"/>
    <cellStyle name="Normal 4 6 2 2 7 2" xfId="6836" xr:uid="{00000000-0005-0000-0000-00002A160000}"/>
    <cellStyle name="Normal 4 6 2 2 7 2 2" xfId="15278" xr:uid="{4D936F18-FD44-4DDF-8154-3C79DD281980}"/>
    <cellStyle name="Normal 4 6 2 2 7 3" xfId="11060" xr:uid="{71CC037B-632D-42E4-9E34-867B0B08DA47}"/>
    <cellStyle name="Normal 4 6 2 2 8" xfId="4771" xr:uid="{00000000-0005-0000-0000-00002B160000}"/>
    <cellStyle name="Normal 4 6 2 2 8 2" xfId="13213" xr:uid="{B252A179-FB8F-44B5-B6E4-C170B745CCA0}"/>
    <cellStyle name="Normal 4 6 2 2 9" xfId="8995" xr:uid="{D0FB8DDB-FB5A-4839-A8D7-E3C8DA9BC2BB}"/>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4D8EB4A2-81B5-450B-8F98-F4560AE84B26}"/>
    <cellStyle name="Normal 4 6 2 3 2 2 3" xfId="11555" xr:uid="{0268EAEB-9A11-4E1F-9D37-A62534F516D3}"/>
    <cellStyle name="Normal 4 6 2 3 2 3" xfId="5186" xr:uid="{00000000-0005-0000-0000-000030160000}"/>
    <cellStyle name="Normal 4 6 2 3 2 3 2" xfId="13628" xr:uid="{11DB7A87-9EE2-42F6-99CF-968C9070BD5F}"/>
    <cellStyle name="Normal 4 6 2 3 2 4" xfId="9410" xr:uid="{CB3CCD19-0CBE-4A4A-9E9C-EFB0C41B1FFC}"/>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93747BEE-0866-4CE6-BF1E-21781C4A71ED}"/>
    <cellStyle name="Normal 4 6 2 3 3 2 3" xfId="11968" xr:uid="{F442A244-2DE0-4D1A-8AC3-5CF6F2EF9782}"/>
    <cellStyle name="Normal 4 6 2 3 3 3" xfId="5599" xr:uid="{00000000-0005-0000-0000-000034160000}"/>
    <cellStyle name="Normal 4 6 2 3 3 3 2" xfId="14041" xr:uid="{4D075058-E7A3-444F-AABB-9876CEA621E4}"/>
    <cellStyle name="Normal 4 6 2 3 3 4" xfId="9823" xr:uid="{CCE43679-93F6-48B0-9373-873305CE1A6B}"/>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7E3B58EF-63AF-4A11-B12F-EE2D77961A54}"/>
    <cellStyle name="Normal 4 6 2 3 4 2 3" xfId="12381" xr:uid="{7699A04C-F896-4FF3-88F6-5DF72146594A}"/>
    <cellStyle name="Normal 4 6 2 3 4 3" xfId="6012" xr:uid="{00000000-0005-0000-0000-000038160000}"/>
    <cellStyle name="Normal 4 6 2 3 4 3 2" xfId="14454" xr:uid="{82FB9F47-F1EA-41F0-BE98-5367050E202B}"/>
    <cellStyle name="Normal 4 6 2 3 4 4" xfId="10236" xr:uid="{EF5B0040-69DB-4882-9B62-4726CAD6472F}"/>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30BFF9EB-E2AF-4DAE-8C69-28606306A3E7}"/>
    <cellStyle name="Normal 4 6 2 3 5 2 3" xfId="12794" xr:uid="{BD938550-B4E5-4A3C-B105-DE78D0DF2D03}"/>
    <cellStyle name="Normal 4 6 2 3 5 3" xfId="6425" xr:uid="{00000000-0005-0000-0000-00003C160000}"/>
    <cellStyle name="Normal 4 6 2 3 5 3 2" xfId="14867" xr:uid="{709CD05D-F873-4893-BF36-D9B7525FDAD9}"/>
    <cellStyle name="Normal 4 6 2 3 5 4" xfId="10649" xr:uid="{D613D001-3E4F-455A-BECF-9DC0D9B464EB}"/>
    <cellStyle name="Normal 4 6 2 3 6" xfId="2554" xr:uid="{00000000-0005-0000-0000-00003D160000}"/>
    <cellStyle name="Normal 4 6 2 3 6 2" xfId="6838" xr:uid="{00000000-0005-0000-0000-00003E160000}"/>
    <cellStyle name="Normal 4 6 2 3 6 2 2" xfId="15280" xr:uid="{605AAE52-F515-4EFB-AE68-BB84ADCFDC8A}"/>
    <cellStyle name="Normal 4 6 2 3 6 3" xfId="11062" xr:uid="{A288DB59-C902-4E1D-BB36-8E62E75B8F55}"/>
    <cellStyle name="Normal 4 6 2 3 7" xfId="4773" xr:uid="{00000000-0005-0000-0000-00003F160000}"/>
    <cellStyle name="Normal 4 6 2 3 7 2" xfId="13215" xr:uid="{2633DF9F-8437-4E56-8B57-91AB2BF330B4}"/>
    <cellStyle name="Normal 4 6 2 3 8" xfId="8997" xr:uid="{D32A9F74-C957-4D6F-9BCC-5811666018EC}"/>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FFB246A4-E61B-4660-951E-238590179844}"/>
    <cellStyle name="Normal 4 6 2 4 2 3" xfId="11552" xr:uid="{A944A245-E1CA-4FCE-B71F-8FC85857EF50}"/>
    <cellStyle name="Normal 4 6 2 4 3" xfId="5183" xr:uid="{00000000-0005-0000-0000-000043160000}"/>
    <cellStyle name="Normal 4 6 2 4 3 2" xfId="13625" xr:uid="{03AE0788-F904-4184-8E77-0D4A9E792A12}"/>
    <cellStyle name="Normal 4 6 2 4 4" xfId="9407" xr:uid="{0D4CA8DE-5A2F-46B8-A6BD-00DD3C1A1130}"/>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501C2E04-ECB1-4AD5-A1F4-DCA99AE0CBC9}"/>
    <cellStyle name="Normal 4 6 2 5 2 3" xfId="11965" xr:uid="{BE268DA7-3889-4B90-BCA5-3A6EFBADA667}"/>
    <cellStyle name="Normal 4 6 2 5 3" xfId="5596" xr:uid="{00000000-0005-0000-0000-000047160000}"/>
    <cellStyle name="Normal 4 6 2 5 3 2" xfId="14038" xr:uid="{1849E0B8-6D4D-498A-B898-E88F869D5DE6}"/>
    <cellStyle name="Normal 4 6 2 5 4" xfId="9820" xr:uid="{B5568E79-428B-484E-8E86-16019CF15DB7}"/>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F8C1DAE5-9A5C-4003-A235-7307BF574451}"/>
    <cellStyle name="Normal 4 6 2 6 2 3" xfId="12378" xr:uid="{081C2B71-589B-4707-8761-AD70E0E33896}"/>
    <cellStyle name="Normal 4 6 2 6 3" xfId="6009" xr:uid="{00000000-0005-0000-0000-00004B160000}"/>
    <cellStyle name="Normal 4 6 2 6 3 2" xfId="14451" xr:uid="{9128D9FB-04D8-4D5B-ADD4-F3F2D77FDDE1}"/>
    <cellStyle name="Normal 4 6 2 6 4" xfId="10233" xr:uid="{C785B6FA-F305-491D-9625-5D4D2AC9F6FA}"/>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0EE54906-0B6D-42D7-B113-9A4361D56F8E}"/>
    <cellStyle name="Normal 4 6 2 7 2 3" xfId="12791" xr:uid="{3D873673-841F-4BFF-B7C8-782C70949F94}"/>
    <cellStyle name="Normal 4 6 2 7 3" xfId="6422" xr:uid="{00000000-0005-0000-0000-00004F160000}"/>
    <cellStyle name="Normal 4 6 2 7 3 2" xfId="14864" xr:uid="{6CE34493-3C19-4FE3-91E6-F9FCECBE3A5C}"/>
    <cellStyle name="Normal 4 6 2 7 4" xfId="10646" xr:uid="{9993F6C2-11F2-4A80-AFE4-A4A257C5A118}"/>
    <cellStyle name="Normal 4 6 2 8" xfId="2551" xr:uid="{00000000-0005-0000-0000-000050160000}"/>
    <cellStyle name="Normal 4 6 2 8 2" xfId="6835" xr:uid="{00000000-0005-0000-0000-000051160000}"/>
    <cellStyle name="Normal 4 6 2 8 2 2" xfId="15277" xr:uid="{44266065-D386-4852-ADA5-C76A249A5E7A}"/>
    <cellStyle name="Normal 4 6 2 8 3" xfId="11059" xr:uid="{7464A731-D9FB-4EBA-8EFC-A70E11C5DE1D}"/>
    <cellStyle name="Normal 4 6 2 9" xfId="4770" xr:uid="{00000000-0005-0000-0000-000052160000}"/>
    <cellStyle name="Normal 4 6 2 9 2" xfId="13212" xr:uid="{FFD3FD78-996B-440D-A449-7E410D2FB1F1}"/>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6E6CF6A2-7458-49E8-AA36-9547900BEAD9}"/>
    <cellStyle name="Normal 4 6 3 2 2 2 3" xfId="11557" xr:uid="{F60A3CDF-C435-403A-89C7-AD381FA84DFF}"/>
    <cellStyle name="Normal 4 6 3 2 2 3" xfId="5188" xr:uid="{00000000-0005-0000-0000-000058160000}"/>
    <cellStyle name="Normal 4 6 3 2 2 3 2" xfId="13630" xr:uid="{B32A0074-510E-4377-AA62-73430E3CEAB1}"/>
    <cellStyle name="Normal 4 6 3 2 2 4" xfId="9412" xr:uid="{4A8FFCA6-E3EB-4538-861F-684E85003A9B}"/>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B824C675-032B-4A8D-B88E-90B9A8B86AC4}"/>
    <cellStyle name="Normal 4 6 3 2 3 2 3" xfId="11970" xr:uid="{F70C9562-3CA2-4993-BB94-6B94B850CDED}"/>
    <cellStyle name="Normal 4 6 3 2 3 3" xfId="5601" xr:uid="{00000000-0005-0000-0000-00005C160000}"/>
    <cellStyle name="Normal 4 6 3 2 3 3 2" xfId="14043" xr:uid="{0F5F51F9-E47D-43CC-B136-0357DB343A5F}"/>
    <cellStyle name="Normal 4 6 3 2 3 4" xfId="9825" xr:uid="{A65106F2-18CC-44EC-85EC-C418C013570A}"/>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86A88D0F-14C4-4875-A360-B0836446D679}"/>
    <cellStyle name="Normal 4 6 3 2 4 2 3" xfId="12383" xr:uid="{ADD3A2A9-D9F2-4573-A78D-11C876E4FBD3}"/>
    <cellStyle name="Normal 4 6 3 2 4 3" xfId="6014" xr:uid="{00000000-0005-0000-0000-000060160000}"/>
    <cellStyle name="Normal 4 6 3 2 4 3 2" xfId="14456" xr:uid="{5ED19F2B-68DB-424E-B75A-373AC7A33395}"/>
    <cellStyle name="Normal 4 6 3 2 4 4" xfId="10238" xr:uid="{38D22D56-EC17-4816-815C-B947C55F0C3B}"/>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F32F63B9-7395-4900-93EF-1707A73AEE0C}"/>
    <cellStyle name="Normal 4 6 3 2 5 2 3" xfId="12796" xr:uid="{C2645C4D-5F9F-4EBC-8E9E-96D3738F0640}"/>
    <cellStyle name="Normal 4 6 3 2 5 3" xfId="6427" xr:uid="{00000000-0005-0000-0000-000064160000}"/>
    <cellStyle name="Normal 4 6 3 2 5 3 2" xfId="14869" xr:uid="{31863DA4-BA14-4DA3-934C-F2EBC3AA1BCC}"/>
    <cellStyle name="Normal 4 6 3 2 5 4" xfId="10651" xr:uid="{3E21BA5A-EDB4-430A-B93A-B7511ADF515D}"/>
    <cellStyle name="Normal 4 6 3 2 6" xfId="2556" xr:uid="{00000000-0005-0000-0000-000065160000}"/>
    <cellStyle name="Normal 4 6 3 2 6 2" xfId="6840" xr:uid="{00000000-0005-0000-0000-000066160000}"/>
    <cellStyle name="Normal 4 6 3 2 6 2 2" xfId="15282" xr:uid="{FE05D83C-ADD7-4BC6-832E-207579B5A9FA}"/>
    <cellStyle name="Normal 4 6 3 2 6 3" xfId="11064" xr:uid="{83C3B852-5185-4662-9BD3-D598291A6D7F}"/>
    <cellStyle name="Normal 4 6 3 2 7" xfId="4775" xr:uid="{00000000-0005-0000-0000-000067160000}"/>
    <cellStyle name="Normal 4 6 3 2 7 2" xfId="13217" xr:uid="{A42DA257-DD60-416D-A946-CF9B9A310347}"/>
    <cellStyle name="Normal 4 6 3 2 8" xfId="8999" xr:uid="{51794893-8249-4C87-BEE5-ADAD6737ECD2}"/>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AC28BE71-08E0-4967-95AA-DD48BBC82D2E}"/>
    <cellStyle name="Normal 4 6 3 3 2 3" xfId="11556" xr:uid="{34735447-D307-4212-AF27-390805224546}"/>
    <cellStyle name="Normal 4 6 3 3 3" xfId="5187" xr:uid="{00000000-0005-0000-0000-00006B160000}"/>
    <cellStyle name="Normal 4 6 3 3 3 2" xfId="13629" xr:uid="{181CCAFF-2E5C-45BA-8A51-2C45B2FBE03D}"/>
    <cellStyle name="Normal 4 6 3 3 4" xfId="9411" xr:uid="{2D24D7D9-C303-4B16-9BEA-CF638D822363}"/>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57B04020-D4E3-40EF-9612-971630754473}"/>
    <cellStyle name="Normal 4 6 3 4 2 3" xfId="11969" xr:uid="{75964130-CC00-45C2-9C7C-98A61C8F98A2}"/>
    <cellStyle name="Normal 4 6 3 4 3" xfId="5600" xr:uid="{00000000-0005-0000-0000-00006F160000}"/>
    <cellStyle name="Normal 4 6 3 4 3 2" xfId="14042" xr:uid="{EB89A326-F3F8-4495-8BD4-02E89DFF1A89}"/>
    <cellStyle name="Normal 4 6 3 4 4" xfId="9824" xr:uid="{EBF336E2-3FBA-48E4-AAEA-65A42EBD0F7F}"/>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D7118E4C-C3C4-454A-9EFE-92D5D802DADA}"/>
    <cellStyle name="Normal 4 6 3 5 2 3" xfId="12382" xr:uid="{7B0BF2B5-C280-4EDF-8894-69584B54A155}"/>
    <cellStyle name="Normal 4 6 3 5 3" xfId="6013" xr:uid="{00000000-0005-0000-0000-000073160000}"/>
    <cellStyle name="Normal 4 6 3 5 3 2" xfId="14455" xr:uid="{22228282-CB25-484C-911E-F4BCC11019E5}"/>
    <cellStyle name="Normal 4 6 3 5 4" xfId="10237" xr:uid="{F13B4E8C-4BD1-4A0B-86A4-ED8DCA9A9F07}"/>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B005EE8B-C79D-49FE-931F-49A141E7DE7F}"/>
    <cellStyle name="Normal 4 6 3 6 2 3" xfId="12795" xr:uid="{EB6AC536-B470-4D46-8CE7-9F920FD8C631}"/>
    <cellStyle name="Normal 4 6 3 6 3" xfId="6426" xr:uid="{00000000-0005-0000-0000-000077160000}"/>
    <cellStyle name="Normal 4 6 3 6 3 2" xfId="14868" xr:uid="{53738DA4-2663-4205-855B-8F0B72E3EDA1}"/>
    <cellStyle name="Normal 4 6 3 6 4" xfId="10650" xr:uid="{209FE183-3984-4C28-952F-F25AC1EFF9C8}"/>
    <cellStyle name="Normal 4 6 3 7" xfId="2555" xr:uid="{00000000-0005-0000-0000-000078160000}"/>
    <cellStyle name="Normal 4 6 3 7 2" xfId="6839" xr:uid="{00000000-0005-0000-0000-000079160000}"/>
    <cellStyle name="Normal 4 6 3 7 2 2" xfId="15281" xr:uid="{29893B8E-EE32-42CC-9F34-C6F985BCAE74}"/>
    <cellStyle name="Normal 4 6 3 7 3" xfId="11063" xr:uid="{9E8A4CC5-3799-462B-8A6D-32D47D57DC4F}"/>
    <cellStyle name="Normal 4 6 3 8" xfId="4774" xr:uid="{00000000-0005-0000-0000-00007A160000}"/>
    <cellStyle name="Normal 4 6 3 8 2" xfId="13216" xr:uid="{5A469C58-DB7E-4589-9306-A67D4B614DA3}"/>
    <cellStyle name="Normal 4 6 3 9" xfId="8998" xr:uid="{0BC56805-BC15-469B-AA25-0F644FD3E59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7C44B4A6-D2D5-491A-BFAD-F2F572E03E08}"/>
    <cellStyle name="Normal 4 6 4 2 2 3" xfId="11558" xr:uid="{3A1CC263-5B49-4C05-B0FC-69ADC119E0A5}"/>
    <cellStyle name="Normal 4 6 4 2 3" xfId="5189" xr:uid="{00000000-0005-0000-0000-00007F160000}"/>
    <cellStyle name="Normal 4 6 4 2 3 2" xfId="13631" xr:uid="{ED377BA6-BD70-4A8D-B462-D42EEE5DF70B}"/>
    <cellStyle name="Normal 4 6 4 2 4" xfId="9413" xr:uid="{A32FB805-E0FE-437C-9154-3E0F5DC587B0}"/>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44C8792B-BDB2-4015-8DC0-F746D6E9F2D6}"/>
    <cellStyle name="Normal 4 6 4 3 2 3" xfId="11971" xr:uid="{08E94D66-D7C1-458A-9650-3B4E030D99FA}"/>
    <cellStyle name="Normal 4 6 4 3 3" xfId="5602" xr:uid="{00000000-0005-0000-0000-000083160000}"/>
    <cellStyle name="Normal 4 6 4 3 3 2" xfId="14044" xr:uid="{FF6E8C4D-6BDF-4A62-AA1B-25D74FEEEC27}"/>
    <cellStyle name="Normal 4 6 4 3 4" xfId="9826" xr:uid="{95A36062-E398-4FA3-8F39-4652961A48A8}"/>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F5F721C9-5C63-4280-BDF0-1DA3A156EF6B}"/>
    <cellStyle name="Normal 4 6 4 4 2 3" xfId="12384" xr:uid="{04143427-EE1B-48A5-8517-F435B9FA7EAA}"/>
    <cellStyle name="Normal 4 6 4 4 3" xfId="6015" xr:uid="{00000000-0005-0000-0000-000087160000}"/>
    <cellStyle name="Normal 4 6 4 4 3 2" xfId="14457" xr:uid="{94465E5E-CD70-4FD1-B07B-6434C4CB236A}"/>
    <cellStyle name="Normal 4 6 4 4 4" xfId="10239" xr:uid="{7F3236C5-3A39-47A6-89F5-48B5ADFA566B}"/>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3F6BE21B-076D-4C20-BCF9-A2FBDBEDF535}"/>
    <cellStyle name="Normal 4 6 4 5 2 3" xfId="12797" xr:uid="{BCCB1E05-4C2B-4D3B-B625-39B3E7BAA020}"/>
    <cellStyle name="Normal 4 6 4 5 3" xfId="6428" xr:uid="{00000000-0005-0000-0000-00008B160000}"/>
    <cellStyle name="Normal 4 6 4 5 3 2" xfId="14870" xr:uid="{08DD7B3A-02CE-4023-A694-0E59B8A8C322}"/>
    <cellStyle name="Normal 4 6 4 5 4" xfId="10652" xr:uid="{A55AD901-4E6A-47E5-ACEC-8DAC96C07E5E}"/>
    <cellStyle name="Normal 4 6 4 6" xfId="2557" xr:uid="{00000000-0005-0000-0000-00008C160000}"/>
    <cellStyle name="Normal 4 6 4 6 2" xfId="6841" xr:uid="{00000000-0005-0000-0000-00008D160000}"/>
    <cellStyle name="Normal 4 6 4 6 2 2" xfId="15283" xr:uid="{617C10DA-3B1B-428D-BE6A-E161F2BB0D80}"/>
    <cellStyle name="Normal 4 6 4 6 3" xfId="11065" xr:uid="{843EE6AB-2223-432A-9DD0-A034A70B167B}"/>
    <cellStyle name="Normal 4 6 4 7" xfId="4776" xr:uid="{00000000-0005-0000-0000-00008E160000}"/>
    <cellStyle name="Normal 4 6 4 7 2" xfId="13218" xr:uid="{AD3A2C76-D951-4F13-AD8E-BF46BF1D9DAE}"/>
    <cellStyle name="Normal 4 6 4 8" xfId="9000" xr:uid="{E671A84E-B205-4A9A-8E2B-0669371B6ABF}"/>
    <cellStyle name="Normal 4 6 5" xfId="869" xr:uid="{00000000-0005-0000-0000-00008F160000}"/>
    <cellStyle name="Normal 4 6 5 2" xfId="3104" xr:uid="{00000000-0005-0000-0000-000090160000}"/>
    <cellStyle name="Normal 4 6 5 2 2" xfId="7327" xr:uid="{00000000-0005-0000-0000-000091160000}"/>
    <cellStyle name="Normal 4 6 5 2 2 2" xfId="15769" xr:uid="{A03DD87D-6941-4087-9490-76B310732156}"/>
    <cellStyle name="Normal 4 6 5 2 3" xfId="11551" xr:uid="{8A27FC24-ABA5-4E3C-A179-15194C24BB16}"/>
    <cellStyle name="Normal 4 6 5 3" xfId="5182" xr:uid="{00000000-0005-0000-0000-000092160000}"/>
    <cellStyle name="Normal 4 6 5 3 2" xfId="13624" xr:uid="{F96B4219-5455-49B5-8FA8-8F519CD46A89}"/>
    <cellStyle name="Normal 4 6 5 4" xfId="9406" xr:uid="{9304A510-D803-421E-AE04-11263EE41783}"/>
    <cellStyle name="Normal 4 6 6" xfId="1287" xr:uid="{00000000-0005-0000-0000-000093160000}"/>
    <cellStyle name="Normal 4 6 6 2" xfId="3517" xr:uid="{00000000-0005-0000-0000-000094160000}"/>
    <cellStyle name="Normal 4 6 6 2 2" xfId="7740" xr:uid="{00000000-0005-0000-0000-000095160000}"/>
    <cellStyle name="Normal 4 6 6 2 2 2" xfId="16182" xr:uid="{86C537DA-CD95-4E94-A149-FB89B48C22BC}"/>
    <cellStyle name="Normal 4 6 6 2 3" xfId="11964" xr:uid="{110CB5B1-031B-4E3D-823D-B411F82616FA}"/>
    <cellStyle name="Normal 4 6 6 3" xfId="5595" xr:uid="{00000000-0005-0000-0000-000096160000}"/>
    <cellStyle name="Normal 4 6 6 3 2" xfId="14037" xr:uid="{910C1237-B61B-4ACD-A0F5-E6F3B8E36A44}"/>
    <cellStyle name="Normal 4 6 6 4" xfId="9819" xr:uid="{DBEEB8FE-C38E-4108-A543-5E0A934E2637}"/>
    <cellStyle name="Normal 4 6 7" xfId="1700" xr:uid="{00000000-0005-0000-0000-000097160000}"/>
    <cellStyle name="Normal 4 6 7 2" xfId="3930" xr:uid="{00000000-0005-0000-0000-000098160000}"/>
    <cellStyle name="Normal 4 6 7 2 2" xfId="8153" xr:uid="{00000000-0005-0000-0000-000099160000}"/>
    <cellStyle name="Normal 4 6 7 2 2 2" xfId="16595" xr:uid="{841880D0-EAA4-4A58-9551-E35A8A0F6F8E}"/>
    <cellStyle name="Normal 4 6 7 2 3" xfId="12377" xr:uid="{0641EBA6-C86E-420C-9275-35818BBFAD9E}"/>
    <cellStyle name="Normal 4 6 7 3" xfId="6008" xr:uid="{00000000-0005-0000-0000-00009A160000}"/>
    <cellStyle name="Normal 4 6 7 3 2" xfId="14450" xr:uid="{2F41B77B-D2F3-47B2-8CF8-5ADE15B82915}"/>
    <cellStyle name="Normal 4 6 7 4" xfId="10232" xr:uid="{BB76CD48-4018-423F-95A4-5AD71F2DDD6B}"/>
    <cellStyle name="Normal 4 6 8" xfId="2114" xr:uid="{00000000-0005-0000-0000-00009B160000}"/>
    <cellStyle name="Normal 4 6 8 2" xfId="4343" xr:uid="{00000000-0005-0000-0000-00009C160000}"/>
    <cellStyle name="Normal 4 6 8 2 2" xfId="8566" xr:uid="{00000000-0005-0000-0000-00009D160000}"/>
    <cellStyle name="Normal 4 6 8 2 2 2" xfId="17008" xr:uid="{03D3DBE6-04D5-443D-82B4-DF4B8FDAE2C3}"/>
    <cellStyle name="Normal 4 6 8 2 3" xfId="12790" xr:uid="{DBC99D31-C022-4149-B210-61751CC95A18}"/>
    <cellStyle name="Normal 4 6 8 3" xfId="6421" xr:uid="{00000000-0005-0000-0000-00009E160000}"/>
    <cellStyle name="Normal 4 6 8 3 2" xfId="14863" xr:uid="{89C6CF47-A152-4C87-8C96-AE2695D4089E}"/>
    <cellStyle name="Normal 4 6 8 4" xfId="10645" xr:uid="{10ADDFE8-091B-4EFC-AFD3-F9043987B0AB}"/>
    <cellStyle name="Normal 4 6 9" xfId="2550" xr:uid="{00000000-0005-0000-0000-00009F160000}"/>
    <cellStyle name="Normal 4 6 9 2" xfId="6834" xr:uid="{00000000-0005-0000-0000-0000A0160000}"/>
    <cellStyle name="Normal 4 6 9 2 2" xfId="15276" xr:uid="{F77BE8B1-867F-4561-AFB5-0C6D46E3E03D}"/>
    <cellStyle name="Normal 4 6 9 3" xfId="11058" xr:uid="{8FA78EED-4044-431F-B8EB-B5CAA81B5D5F}"/>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1F7FA7C7-EC87-41F2-A579-29500EBF9DB5}"/>
    <cellStyle name="Normal 4 7 2 2 2 3" xfId="11560" xr:uid="{F13C922A-F6EA-4843-A016-EF64663260C6}"/>
    <cellStyle name="Normal 4 7 2 2 3" xfId="5191" xr:uid="{00000000-0005-0000-0000-0000A6160000}"/>
    <cellStyle name="Normal 4 7 2 2 3 2" xfId="13633" xr:uid="{0C633042-5D3A-4F2F-A96D-8C1A38F8D411}"/>
    <cellStyle name="Normal 4 7 2 2 4" xfId="9415" xr:uid="{F5F845B5-E883-4A75-B8DB-075C26460E64}"/>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998A8FC2-69FD-484C-9E03-586C7D0043F6}"/>
    <cellStyle name="Normal 4 7 2 3 2 3" xfId="11973" xr:uid="{DB16100F-F022-4633-A53A-545D6646E8D0}"/>
    <cellStyle name="Normal 4 7 2 3 3" xfId="5604" xr:uid="{00000000-0005-0000-0000-0000AA160000}"/>
    <cellStyle name="Normal 4 7 2 3 3 2" xfId="14046" xr:uid="{4E2B1680-2072-4D72-8CA6-0F5A6966523C}"/>
    <cellStyle name="Normal 4 7 2 3 4" xfId="9828" xr:uid="{CCA74F36-5345-414D-B46E-93CA1ADDB16B}"/>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0C70C55A-CC8D-467F-9EFC-C8A7A1CB8F1B}"/>
    <cellStyle name="Normal 4 7 2 4 2 3" xfId="12386" xr:uid="{ED3A23D6-70D1-409D-BA4D-5A6EBDCD2FC6}"/>
    <cellStyle name="Normal 4 7 2 4 3" xfId="6017" xr:uid="{00000000-0005-0000-0000-0000AE160000}"/>
    <cellStyle name="Normal 4 7 2 4 3 2" xfId="14459" xr:uid="{FC5AED2F-9550-444E-89DB-957233553E66}"/>
    <cellStyle name="Normal 4 7 2 4 4" xfId="10241" xr:uid="{B4F86524-41B9-487E-A03F-B16D76D952D1}"/>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9B6D2AB9-6A76-4046-A4D6-1FCC0DE1220A}"/>
    <cellStyle name="Normal 4 7 2 5 2 3" xfId="12799" xr:uid="{458D3141-3A76-44C2-B3D8-BFA83A1CCA65}"/>
    <cellStyle name="Normal 4 7 2 5 3" xfId="6430" xr:uid="{00000000-0005-0000-0000-0000B2160000}"/>
    <cellStyle name="Normal 4 7 2 5 3 2" xfId="14872" xr:uid="{549BFA7C-DB88-48C1-B3AA-57BDAADE3339}"/>
    <cellStyle name="Normal 4 7 2 5 4" xfId="10654" xr:uid="{FA978454-4307-4111-922A-94A27C7D7E6E}"/>
    <cellStyle name="Normal 4 7 2 6" xfId="2559" xr:uid="{00000000-0005-0000-0000-0000B3160000}"/>
    <cellStyle name="Normal 4 7 2 6 2" xfId="6843" xr:uid="{00000000-0005-0000-0000-0000B4160000}"/>
    <cellStyle name="Normal 4 7 2 6 2 2" xfId="15285" xr:uid="{AC74CD12-AB0E-48E6-9204-9EE3D4B28C6F}"/>
    <cellStyle name="Normal 4 7 2 6 3" xfId="11067" xr:uid="{CF1CEB49-B72B-4FAE-8ED6-4054A09864F2}"/>
    <cellStyle name="Normal 4 7 2 7" xfId="4778" xr:uid="{00000000-0005-0000-0000-0000B5160000}"/>
    <cellStyle name="Normal 4 7 2 7 2" xfId="13220" xr:uid="{1BE8FA06-E090-488D-BEDC-900C39D41AB2}"/>
    <cellStyle name="Normal 4 7 2 8" xfId="9002" xr:uid="{38279272-0991-490B-9192-B1BB74512BD7}"/>
    <cellStyle name="Normal 4 7 3" xfId="877" xr:uid="{00000000-0005-0000-0000-0000B6160000}"/>
    <cellStyle name="Normal 4 7 3 2" xfId="3112" xr:uid="{00000000-0005-0000-0000-0000B7160000}"/>
    <cellStyle name="Normal 4 7 3 2 2" xfId="7335" xr:uid="{00000000-0005-0000-0000-0000B8160000}"/>
    <cellStyle name="Normal 4 7 3 2 2 2" xfId="15777" xr:uid="{BF5B594E-1BFF-4884-9660-28CA5B5B2DED}"/>
    <cellStyle name="Normal 4 7 3 2 3" xfId="11559" xr:uid="{7D71C2A4-F051-40D3-9370-BF935B9BFF3D}"/>
    <cellStyle name="Normal 4 7 3 3" xfId="5190" xr:uid="{00000000-0005-0000-0000-0000B9160000}"/>
    <cellStyle name="Normal 4 7 3 3 2" xfId="13632" xr:uid="{1E8FCBBB-CD61-40D5-8D0A-946E3721D0F0}"/>
    <cellStyle name="Normal 4 7 3 4" xfId="9414" xr:uid="{B490FAD1-6846-4860-BEE0-A67D5B8D1CD3}"/>
    <cellStyle name="Normal 4 7 4" xfId="1295" xr:uid="{00000000-0005-0000-0000-0000BA160000}"/>
    <cellStyle name="Normal 4 7 4 2" xfId="3525" xr:uid="{00000000-0005-0000-0000-0000BB160000}"/>
    <cellStyle name="Normal 4 7 4 2 2" xfId="7748" xr:uid="{00000000-0005-0000-0000-0000BC160000}"/>
    <cellStyle name="Normal 4 7 4 2 2 2" xfId="16190" xr:uid="{B362117C-B332-4301-A473-FF77758417C0}"/>
    <cellStyle name="Normal 4 7 4 2 3" xfId="11972" xr:uid="{DBC5343A-4281-4424-AA8E-9B5FC9EFE1C9}"/>
    <cellStyle name="Normal 4 7 4 3" xfId="5603" xr:uid="{00000000-0005-0000-0000-0000BD160000}"/>
    <cellStyle name="Normal 4 7 4 3 2" xfId="14045" xr:uid="{34B90B2F-F7DE-4893-B99F-E5973C1247F3}"/>
    <cellStyle name="Normal 4 7 4 4" xfId="9827" xr:uid="{F040225E-8CAD-4269-A33B-BCC5275A73CB}"/>
    <cellStyle name="Normal 4 7 5" xfId="1708" xr:uid="{00000000-0005-0000-0000-0000BE160000}"/>
    <cellStyle name="Normal 4 7 5 2" xfId="3938" xr:uid="{00000000-0005-0000-0000-0000BF160000}"/>
    <cellStyle name="Normal 4 7 5 2 2" xfId="8161" xr:uid="{00000000-0005-0000-0000-0000C0160000}"/>
    <cellStyle name="Normal 4 7 5 2 2 2" xfId="16603" xr:uid="{17929982-C779-4A6E-949B-109F26B86F5C}"/>
    <cellStyle name="Normal 4 7 5 2 3" xfId="12385" xr:uid="{91A74A47-02E8-4431-9E0E-DD83059C7489}"/>
    <cellStyle name="Normal 4 7 5 3" xfId="6016" xr:uid="{00000000-0005-0000-0000-0000C1160000}"/>
    <cellStyle name="Normal 4 7 5 3 2" xfId="14458" xr:uid="{7CABB771-17FB-4086-8300-4015FD3BDA78}"/>
    <cellStyle name="Normal 4 7 5 4" xfId="10240" xr:uid="{FC2E5FCF-E945-4F61-AE99-9EE5D9F234DD}"/>
    <cellStyle name="Normal 4 7 6" xfId="2122" xr:uid="{00000000-0005-0000-0000-0000C2160000}"/>
    <cellStyle name="Normal 4 7 6 2" xfId="4351" xr:uid="{00000000-0005-0000-0000-0000C3160000}"/>
    <cellStyle name="Normal 4 7 6 2 2" xfId="8574" xr:uid="{00000000-0005-0000-0000-0000C4160000}"/>
    <cellStyle name="Normal 4 7 6 2 2 2" xfId="17016" xr:uid="{7EE545BB-BA15-4C92-9C2D-B4CC7E118BA3}"/>
    <cellStyle name="Normal 4 7 6 2 3" xfId="12798" xr:uid="{3DFD918F-15AB-4E92-B823-17731A4970D9}"/>
    <cellStyle name="Normal 4 7 6 3" xfId="6429" xr:uid="{00000000-0005-0000-0000-0000C5160000}"/>
    <cellStyle name="Normal 4 7 6 3 2" xfId="14871" xr:uid="{D38E76E6-C974-4C2D-827D-CD270D0DDB06}"/>
    <cellStyle name="Normal 4 7 6 4" xfId="10653" xr:uid="{55005641-3806-4F6F-9A08-E106584BDC19}"/>
    <cellStyle name="Normal 4 7 7" xfId="2558" xr:uid="{00000000-0005-0000-0000-0000C6160000}"/>
    <cellStyle name="Normal 4 7 7 2" xfId="6842" xr:uid="{00000000-0005-0000-0000-0000C7160000}"/>
    <cellStyle name="Normal 4 7 7 2 2" xfId="15284" xr:uid="{35FCAE94-ED1D-419D-9398-A35E0130AB73}"/>
    <cellStyle name="Normal 4 7 7 3" xfId="11066" xr:uid="{5FF88B0F-E6C4-4900-9B1A-F51F2DA5F5E1}"/>
    <cellStyle name="Normal 4 7 8" xfId="4777" xr:uid="{00000000-0005-0000-0000-0000C8160000}"/>
    <cellStyle name="Normal 4 7 8 2" xfId="13219" xr:uid="{911AB880-AE14-43CC-B644-778CC900C942}"/>
    <cellStyle name="Normal 4 7 9" xfId="9001" xr:uid="{63A22E2D-3E4D-4E74-B5C9-88F86C0B2C7A}"/>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7C2CCE3D-213C-4C4E-ABCB-BC3134674B9E}"/>
    <cellStyle name="Normal 4 8 2 2 3" xfId="11561" xr:uid="{A610975E-2511-46E4-84A9-22BEB7909FC7}"/>
    <cellStyle name="Normal 4 8 2 3" xfId="5192" xr:uid="{00000000-0005-0000-0000-0000CD160000}"/>
    <cellStyle name="Normal 4 8 2 3 2" xfId="13634" xr:uid="{3C8F8A18-86A3-41D1-8AFF-710F035B1FC4}"/>
    <cellStyle name="Normal 4 8 2 4" xfId="9416" xr:uid="{118520D8-7005-455C-9324-D94AE18C7BE5}"/>
    <cellStyle name="Normal 4 8 3" xfId="1297" xr:uid="{00000000-0005-0000-0000-0000CE160000}"/>
    <cellStyle name="Normal 4 8 3 2" xfId="3527" xr:uid="{00000000-0005-0000-0000-0000CF160000}"/>
    <cellStyle name="Normal 4 8 3 2 2" xfId="7750" xr:uid="{00000000-0005-0000-0000-0000D0160000}"/>
    <cellStyle name="Normal 4 8 3 2 2 2" xfId="16192" xr:uid="{09EE95AB-F51F-4832-8D3D-E3EE821FE263}"/>
    <cellStyle name="Normal 4 8 3 2 3" xfId="11974" xr:uid="{E4935F68-6727-47AF-BD7F-CBE3FEA14498}"/>
    <cellStyle name="Normal 4 8 3 3" xfId="5605" xr:uid="{00000000-0005-0000-0000-0000D1160000}"/>
    <cellStyle name="Normal 4 8 3 3 2" xfId="14047" xr:uid="{971D190B-84E0-41CE-A997-B8B9CDDC3E91}"/>
    <cellStyle name="Normal 4 8 3 4" xfId="9829" xr:uid="{933DDD69-2EBA-4D2B-8DDD-EE591D1F3163}"/>
    <cellStyle name="Normal 4 8 4" xfId="1710" xr:uid="{00000000-0005-0000-0000-0000D2160000}"/>
    <cellStyle name="Normal 4 8 4 2" xfId="3940" xr:uid="{00000000-0005-0000-0000-0000D3160000}"/>
    <cellStyle name="Normal 4 8 4 2 2" xfId="8163" xr:uid="{00000000-0005-0000-0000-0000D4160000}"/>
    <cellStyle name="Normal 4 8 4 2 2 2" xfId="16605" xr:uid="{32B6ECA7-EB9A-4A87-AF40-8192DC821AE1}"/>
    <cellStyle name="Normal 4 8 4 2 3" xfId="12387" xr:uid="{FECB3768-BDD9-4C98-B5B3-31D82EF1A995}"/>
    <cellStyle name="Normal 4 8 4 3" xfId="6018" xr:uid="{00000000-0005-0000-0000-0000D5160000}"/>
    <cellStyle name="Normal 4 8 4 3 2" xfId="14460" xr:uid="{0E30FDEF-3D9F-44F5-A1C8-C6FDE699F823}"/>
    <cellStyle name="Normal 4 8 4 4" xfId="10242" xr:uid="{B077C76B-CB16-4EF7-B020-1B2EC9F0E563}"/>
    <cellStyle name="Normal 4 8 5" xfId="2124" xr:uid="{00000000-0005-0000-0000-0000D6160000}"/>
    <cellStyle name="Normal 4 8 5 2" xfId="4353" xr:uid="{00000000-0005-0000-0000-0000D7160000}"/>
    <cellStyle name="Normal 4 8 5 2 2" xfId="8576" xr:uid="{00000000-0005-0000-0000-0000D8160000}"/>
    <cellStyle name="Normal 4 8 5 2 2 2" xfId="17018" xr:uid="{9E491D39-4237-477F-9851-548FD8EED735}"/>
    <cellStyle name="Normal 4 8 5 2 3" xfId="12800" xr:uid="{893DB12D-F921-4067-A720-23D2EFA66DEE}"/>
    <cellStyle name="Normal 4 8 5 3" xfId="6431" xr:uid="{00000000-0005-0000-0000-0000D9160000}"/>
    <cellStyle name="Normal 4 8 5 3 2" xfId="14873" xr:uid="{F849B9D1-E31C-4EA6-9892-A10E5C9FF01E}"/>
    <cellStyle name="Normal 4 8 5 4" xfId="10655" xr:uid="{3974CAE9-11E7-40A1-A7DB-AE3ABF2F0E3B}"/>
    <cellStyle name="Normal 4 8 6" xfId="2560" xr:uid="{00000000-0005-0000-0000-0000DA160000}"/>
    <cellStyle name="Normal 4 8 6 2" xfId="6844" xr:uid="{00000000-0005-0000-0000-0000DB160000}"/>
    <cellStyle name="Normal 4 8 6 2 2" xfId="15286" xr:uid="{516F80CC-9652-4BA0-B161-01661E219185}"/>
    <cellStyle name="Normal 4 8 6 3" xfId="11068" xr:uid="{D3D9C8F0-C088-4BD4-8157-0ADBF795D68E}"/>
    <cellStyle name="Normal 4 8 7" xfId="4779" xr:uid="{00000000-0005-0000-0000-0000DC160000}"/>
    <cellStyle name="Normal 4 8 7 2" xfId="13221" xr:uid="{FB43BDB5-C259-404A-A482-99D7DCB1E853}"/>
    <cellStyle name="Normal 4 8 8" xfId="9003" xr:uid="{9ACA1673-31A3-4273-8062-A7A822B3FBED}"/>
    <cellStyle name="Normal 4 9" xfId="4716" xr:uid="{00000000-0005-0000-0000-0000DD160000}"/>
    <cellStyle name="Normal 4 9 2" xfId="13158" xr:uid="{98EF1D36-5741-457C-B9B2-BC035E8764EC}"/>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8D1D99C6-1F68-43CA-AAA8-4FE7D0BF0680}"/>
    <cellStyle name="Normal 5 10 2 3" xfId="12388" xr:uid="{E12E3542-1E2D-4DAE-A254-2FDED6DB4015}"/>
    <cellStyle name="Normal 5 10 3" xfId="6019" xr:uid="{00000000-0005-0000-0000-0000E2160000}"/>
    <cellStyle name="Normal 5 10 3 2" xfId="14461" xr:uid="{5436C68F-9B07-4F4A-A6FA-23C2DEC9673E}"/>
    <cellStyle name="Normal 5 10 4" xfId="10243" xr:uid="{60B6D1C5-160F-4E7A-9438-F497FC74DBFD}"/>
    <cellStyle name="Normal 5 11" xfId="2125" xr:uid="{00000000-0005-0000-0000-0000E3160000}"/>
    <cellStyle name="Normal 5 11 2" xfId="4354" xr:uid="{00000000-0005-0000-0000-0000E4160000}"/>
    <cellStyle name="Normal 5 11 2 2" xfId="8577" xr:uid="{00000000-0005-0000-0000-0000E5160000}"/>
    <cellStyle name="Normal 5 11 2 2 2" xfId="17019" xr:uid="{959B90EA-A3E4-4141-B81D-484965B2BB3F}"/>
    <cellStyle name="Normal 5 11 2 3" xfId="12801" xr:uid="{2D3CE52B-8C28-44E1-A161-EFEF90DE76B3}"/>
    <cellStyle name="Normal 5 11 3" xfId="6432" xr:uid="{00000000-0005-0000-0000-0000E6160000}"/>
    <cellStyle name="Normal 5 11 3 2" xfId="14874" xr:uid="{4C9390A0-3F4D-49A0-99D9-9C0FDACB449F}"/>
    <cellStyle name="Normal 5 11 4" xfId="10656" xr:uid="{0367CDA9-1487-420E-A870-CD295A1DE50B}"/>
    <cellStyle name="Normal 5 12" xfId="2561" xr:uid="{00000000-0005-0000-0000-0000E7160000}"/>
    <cellStyle name="Normal 5 12 2" xfId="6845" xr:uid="{00000000-0005-0000-0000-0000E8160000}"/>
    <cellStyle name="Normal 5 12 2 2" xfId="15287" xr:uid="{859CC63A-903A-4B6C-A16C-1B01DE1D0404}"/>
    <cellStyle name="Normal 5 12 3" xfId="11069" xr:uid="{93898905-66A9-485E-A2EB-A8F754A4B025}"/>
    <cellStyle name="Normal 5 13" xfId="4780" xr:uid="{00000000-0005-0000-0000-0000E9160000}"/>
    <cellStyle name="Normal 5 13 2" xfId="13222" xr:uid="{559113DF-24F0-44F9-B60B-F0BE21FB8603}"/>
    <cellStyle name="Normal 5 14" xfId="9004" xr:uid="{FA2F7BF9-5CED-4E04-A8A8-F5CA2332FBF3}"/>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34A79C86-1F81-4D80-808C-51232522BAA1}"/>
    <cellStyle name="Normal 5 2 10 2 3" xfId="12802" xr:uid="{3AA6AA1B-D0B0-41EF-B163-69CF7AF25D63}"/>
    <cellStyle name="Normal 5 2 10 3" xfId="6433" xr:uid="{00000000-0005-0000-0000-0000EE160000}"/>
    <cellStyle name="Normal 5 2 10 3 2" xfId="14875" xr:uid="{F028D723-5EB7-4171-8441-28BA92EA3E1A}"/>
    <cellStyle name="Normal 5 2 10 4" xfId="10657" xr:uid="{F94C058B-B37A-4F01-A20B-79D4EC8E19AB}"/>
    <cellStyle name="Normal 5 2 11" xfId="2562" xr:uid="{00000000-0005-0000-0000-0000EF160000}"/>
    <cellStyle name="Normal 5 2 11 2" xfId="6846" xr:uid="{00000000-0005-0000-0000-0000F0160000}"/>
    <cellStyle name="Normal 5 2 11 2 2" xfId="15288" xr:uid="{6E3C1A01-7258-4A6E-9C56-5C2135D2C755}"/>
    <cellStyle name="Normal 5 2 11 3" xfId="11070" xr:uid="{2020E5C5-6F9C-48A5-989E-0740954FEFFC}"/>
    <cellStyle name="Normal 5 2 12" xfId="4781" xr:uid="{00000000-0005-0000-0000-0000F1160000}"/>
    <cellStyle name="Normal 5 2 12 2" xfId="13223" xr:uid="{07B3F93D-2640-48EE-B894-2370674C03FD}"/>
    <cellStyle name="Normal 5 2 13" xfId="9005" xr:uid="{ED70764E-17FA-4B65-8041-9D7B0FA19663}"/>
    <cellStyle name="Normal 5 2 2" xfId="408" xr:uid="{00000000-0005-0000-0000-0000F2160000}"/>
    <cellStyle name="Normal 5 2 2 10" xfId="2563" xr:uid="{00000000-0005-0000-0000-0000F3160000}"/>
    <cellStyle name="Normal 5 2 2 10 2" xfId="6847" xr:uid="{00000000-0005-0000-0000-0000F4160000}"/>
    <cellStyle name="Normal 5 2 2 10 2 2" xfId="15289" xr:uid="{61590911-7792-42F2-9366-C2D38DB23347}"/>
    <cellStyle name="Normal 5 2 2 10 3" xfId="11071" xr:uid="{AF20C19B-1F72-4199-9D5E-CB9542D6B558}"/>
    <cellStyle name="Normal 5 2 2 11" xfId="4782" xr:uid="{00000000-0005-0000-0000-0000F5160000}"/>
    <cellStyle name="Normal 5 2 2 11 2" xfId="13224" xr:uid="{FEA87CB8-4BD2-45E0-ABDC-84C44EF93115}"/>
    <cellStyle name="Normal 5 2 2 12" xfId="9006" xr:uid="{256F98A0-B540-4C32-AA3E-5C8BED841BBE}"/>
    <cellStyle name="Normal 5 2 2 2" xfId="409" xr:uid="{00000000-0005-0000-0000-0000F6160000}"/>
    <cellStyle name="Normal 5 2 2 2 10" xfId="4783" xr:uid="{00000000-0005-0000-0000-0000F7160000}"/>
    <cellStyle name="Normal 5 2 2 2 10 2" xfId="13225" xr:uid="{E20F74C5-219B-43DB-9E8D-59A22D0E72BE}"/>
    <cellStyle name="Normal 5 2 2 2 11" xfId="9007" xr:uid="{35AAECD7-0108-4DB0-BA7F-3D5D508BF994}"/>
    <cellStyle name="Normal 5 2 2 2 2" xfId="410" xr:uid="{00000000-0005-0000-0000-0000F8160000}"/>
    <cellStyle name="Normal 5 2 2 2 2 10" xfId="9008" xr:uid="{30E097F4-1257-4510-B022-2F0EFDC057A5}"/>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0ECA218F-D2A5-44B4-9D16-2CD1B66A2290}"/>
    <cellStyle name="Normal 5 2 2 2 2 2 2 2 2 3" xfId="11568" xr:uid="{17095D19-8F5B-44AF-86E1-CC31475197D8}"/>
    <cellStyle name="Normal 5 2 2 2 2 2 2 2 3" xfId="5199" xr:uid="{00000000-0005-0000-0000-0000FE160000}"/>
    <cellStyle name="Normal 5 2 2 2 2 2 2 2 3 2" xfId="13641" xr:uid="{9036905F-D4F0-416B-B5DC-281AB3759211}"/>
    <cellStyle name="Normal 5 2 2 2 2 2 2 2 4" xfId="9423" xr:uid="{258AD5F6-F936-40F7-B0BA-BAAF28E167F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3D0443EB-AFBF-40EA-A376-102A10117137}"/>
    <cellStyle name="Normal 5 2 2 2 2 2 2 3 2 3" xfId="11981" xr:uid="{8EE7C746-344E-4F22-BCD4-53933E6FEFC1}"/>
    <cellStyle name="Normal 5 2 2 2 2 2 2 3 3" xfId="5612" xr:uid="{00000000-0005-0000-0000-000002170000}"/>
    <cellStyle name="Normal 5 2 2 2 2 2 2 3 3 2" xfId="14054" xr:uid="{28AC6155-EB71-4D4B-A1F0-740F79C5D19F}"/>
    <cellStyle name="Normal 5 2 2 2 2 2 2 3 4" xfId="9836" xr:uid="{7345EE53-AED9-4029-B833-AC80125CC0C3}"/>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D827FAC1-176E-4871-BA46-AC7DE65A0CCF}"/>
    <cellStyle name="Normal 5 2 2 2 2 2 2 4 2 3" xfId="12394" xr:uid="{E8291BF8-2150-40C7-90E7-64BE2530861E}"/>
    <cellStyle name="Normal 5 2 2 2 2 2 2 4 3" xfId="6025" xr:uid="{00000000-0005-0000-0000-000006170000}"/>
    <cellStyle name="Normal 5 2 2 2 2 2 2 4 3 2" xfId="14467" xr:uid="{0AE29917-45FD-4DB1-A064-C02D35C4821E}"/>
    <cellStyle name="Normal 5 2 2 2 2 2 2 4 4" xfId="10249" xr:uid="{FE271BD9-73E3-40AF-A0B8-DACFB2498FA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AD0275E7-879B-4BB1-AB6A-75A244372FDB}"/>
    <cellStyle name="Normal 5 2 2 2 2 2 2 5 2 3" xfId="12807" xr:uid="{7CBA5D8E-E969-4379-B65A-140CB3A49C74}"/>
    <cellStyle name="Normal 5 2 2 2 2 2 2 5 3" xfId="6438" xr:uid="{00000000-0005-0000-0000-00000A170000}"/>
    <cellStyle name="Normal 5 2 2 2 2 2 2 5 3 2" xfId="14880" xr:uid="{5619DC47-48E6-41C2-96AC-73CBE4C5A57A}"/>
    <cellStyle name="Normal 5 2 2 2 2 2 2 5 4" xfId="10662" xr:uid="{B0F5FA0A-635E-42A1-B9BF-6E85BFA22E2D}"/>
    <cellStyle name="Normal 5 2 2 2 2 2 2 6" xfId="2567" xr:uid="{00000000-0005-0000-0000-00000B170000}"/>
    <cellStyle name="Normal 5 2 2 2 2 2 2 6 2" xfId="6851" xr:uid="{00000000-0005-0000-0000-00000C170000}"/>
    <cellStyle name="Normal 5 2 2 2 2 2 2 6 2 2" xfId="15293" xr:uid="{4882F49F-3446-4BD3-881C-85C70C67C540}"/>
    <cellStyle name="Normal 5 2 2 2 2 2 2 6 3" xfId="11075" xr:uid="{4AA340AD-F338-49F8-A932-6CADF64695CC}"/>
    <cellStyle name="Normal 5 2 2 2 2 2 2 7" xfId="4786" xr:uid="{00000000-0005-0000-0000-00000D170000}"/>
    <cellStyle name="Normal 5 2 2 2 2 2 2 7 2" xfId="13228" xr:uid="{607D54D4-634B-490A-A582-EDDF71E3FEC2}"/>
    <cellStyle name="Normal 5 2 2 2 2 2 2 8" xfId="9010" xr:uid="{BEDA7602-EFE8-4C00-93B9-42F018D142A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2087524A-1FC0-40A5-9843-BECFD21C9A8F}"/>
    <cellStyle name="Normal 5 2 2 2 2 2 3 2 3" xfId="11567" xr:uid="{73C6F11E-44B4-47EE-BF4B-C9CD9768E93C}"/>
    <cellStyle name="Normal 5 2 2 2 2 2 3 3" xfId="5198" xr:uid="{00000000-0005-0000-0000-000011170000}"/>
    <cellStyle name="Normal 5 2 2 2 2 2 3 3 2" xfId="13640" xr:uid="{5E8A7683-3D8C-4531-87FD-504CD46622AE}"/>
    <cellStyle name="Normal 5 2 2 2 2 2 3 4" xfId="9422" xr:uid="{D37AFBE8-76CF-421E-A385-ED50B9F0EF9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2C3F5D01-1CA9-4968-BD75-58F893502731}"/>
    <cellStyle name="Normal 5 2 2 2 2 2 4 2 3" xfId="11980" xr:uid="{349F0425-6ACA-4006-8722-0981A37B2F7A}"/>
    <cellStyle name="Normal 5 2 2 2 2 2 4 3" xfId="5611" xr:uid="{00000000-0005-0000-0000-000015170000}"/>
    <cellStyle name="Normal 5 2 2 2 2 2 4 3 2" xfId="14053" xr:uid="{3D567DB1-AE6A-418C-BBE2-9527060F6C83}"/>
    <cellStyle name="Normal 5 2 2 2 2 2 4 4" xfId="9835" xr:uid="{47836C47-DC3C-4907-BB69-F380B7DD2C1F}"/>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F5A6F569-5466-4E78-AD9B-EBFF273A78A4}"/>
    <cellStyle name="Normal 5 2 2 2 2 2 5 2 3" xfId="12393" xr:uid="{CCA41D83-117A-492A-854E-05231ACE926F}"/>
    <cellStyle name="Normal 5 2 2 2 2 2 5 3" xfId="6024" xr:uid="{00000000-0005-0000-0000-000019170000}"/>
    <cellStyle name="Normal 5 2 2 2 2 2 5 3 2" xfId="14466" xr:uid="{8E3AC152-5599-449F-BBB4-0A8324DF9260}"/>
    <cellStyle name="Normal 5 2 2 2 2 2 5 4" xfId="10248" xr:uid="{450A12EA-256E-4593-8A74-4AA7CCF56FDE}"/>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1FEA51F0-7545-4F3B-9178-53872FC505BD}"/>
    <cellStyle name="Normal 5 2 2 2 2 2 6 2 3" xfId="12806" xr:uid="{699F5AF2-D0C5-4406-97CC-B5E042EDA763}"/>
    <cellStyle name="Normal 5 2 2 2 2 2 6 3" xfId="6437" xr:uid="{00000000-0005-0000-0000-00001D170000}"/>
    <cellStyle name="Normal 5 2 2 2 2 2 6 3 2" xfId="14879" xr:uid="{8BDD02C3-5974-4ACD-B883-D11D85E71A16}"/>
    <cellStyle name="Normal 5 2 2 2 2 2 6 4" xfId="10661" xr:uid="{0EFDA5CB-DA6D-4C7E-BD30-59BA9832A1E8}"/>
    <cellStyle name="Normal 5 2 2 2 2 2 7" xfId="2566" xr:uid="{00000000-0005-0000-0000-00001E170000}"/>
    <cellStyle name="Normal 5 2 2 2 2 2 7 2" xfId="6850" xr:uid="{00000000-0005-0000-0000-00001F170000}"/>
    <cellStyle name="Normal 5 2 2 2 2 2 7 2 2" xfId="15292" xr:uid="{073B51A8-6352-4EC5-8139-1B9E462B7BFD}"/>
    <cellStyle name="Normal 5 2 2 2 2 2 7 3" xfId="11074" xr:uid="{1C08FBD9-6AD1-4390-8ADC-40214F5605EF}"/>
    <cellStyle name="Normal 5 2 2 2 2 2 8" xfId="4785" xr:uid="{00000000-0005-0000-0000-000020170000}"/>
    <cellStyle name="Normal 5 2 2 2 2 2 8 2" xfId="13227" xr:uid="{73509D4D-ACCF-4548-A083-EB03B9F63BEC}"/>
    <cellStyle name="Normal 5 2 2 2 2 2 9" xfId="9009" xr:uid="{7B1507C6-0CF4-4157-A599-3B08B7E7EACA}"/>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6EDE21BF-CCF1-4A45-9C45-3BD987E59DF2}"/>
    <cellStyle name="Normal 5 2 2 2 2 3 2 2 3" xfId="11569" xr:uid="{EDA8CB91-BF0A-4167-A772-C7C23DAC2EDC}"/>
    <cellStyle name="Normal 5 2 2 2 2 3 2 3" xfId="5200" xr:uid="{00000000-0005-0000-0000-000025170000}"/>
    <cellStyle name="Normal 5 2 2 2 2 3 2 3 2" xfId="13642" xr:uid="{A9CF18C3-9F86-4087-842A-FD34FC1E1CD8}"/>
    <cellStyle name="Normal 5 2 2 2 2 3 2 4" xfId="9424" xr:uid="{14FC4AFB-3A04-45B6-99B3-6074C6D5D1F2}"/>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133021C6-0CE2-4134-B10C-209FCA942A4C}"/>
    <cellStyle name="Normal 5 2 2 2 2 3 3 2 3" xfId="11982" xr:uid="{09699DD3-93BD-4994-8027-50B9201C6A12}"/>
    <cellStyle name="Normal 5 2 2 2 2 3 3 3" xfId="5613" xr:uid="{00000000-0005-0000-0000-000029170000}"/>
    <cellStyle name="Normal 5 2 2 2 2 3 3 3 2" xfId="14055" xr:uid="{20BEA178-AF17-4AD3-ACDC-211B719C67B6}"/>
    <cellStyle name="Normal 5 2 2 2 2 3 3 4" xfId="9837" xr:uid="{267E9494-C51B-4EDA-B49B-17D732A2EE03}"/>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F127732B-44A5-4DEF-B3C8-0C5FBC9E2E5C}"/>
    <cellStyle name="Normal 5 2 2 2 2 3 4 2 3" xfId="12395" xr:uid="{95384122-E48B-4513-B1E4-5C89F1F0C531}"/>
    <cellStyle name="Normal 5 2 2 2 2 3 4 3" xfId="6026" xr:uid="{00000000-0005-0000-0000-00002D170000}"/>
    <cellStyle name="Normal 5 2 2 2 2 3 4 3 2" xfId="14468" xr:uid="{7FB6A073-C786-46CB-9F81-20728EC5B829}"/>
    <cellStyle name="Normal 5 2 2 2 2 3 4 4" xfId="10250" xr:uid="{3604D266-E5A3-4161-B8F3-7CDAA8873DCE}"/>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7D1845A8-B314-4555-82C3-0390261235DD}"/>
    <cellStyle name="Normal 5 2 2 2 2 3 5 2 3" xfId="12808" xr:uid="{CF44C4FF-D944-4F99-88DC-2AC9C70ADD82}"/>
    <cellStyle name="Normal 5 2 2 2 2 3 5 3" xfId="6439" xr:uid="{00000000-0005-0000-0000-000031170000}"/>
    <cellStyle name="Normal 5 2 2 2 2 3 5 3 2" xfId="14881" xr:uid="{1458EE50-1A57-4517-A058-8153CEF0F832}"/>
    <cellStyle name="Normal 5 2 2 2 2 3 5 4" xfId="10663" xr:uid="{3B0AD01D-0F49-4F0C-8AD3-BCE9F2C16151}"/>
    <cellStyle name="Normal 5 2 2 2 2 3 6" xfId="2568" xr:uid="{00000000-0005-0000-0000-000032170000}"/>
    <cellStyle name="Normal 5 2 2 2 2 3 6 2" xfId="6852" xr:uid="{00000000-0005-0000-0000-000033170000}"/>
    <cellStyle name="Normal 5 2 2 2 2 3 6 2 2" xfId="15294" xr:uid="{8B381EA8-DCB5-4775-B09F-263A5F1FB086}"/>
    <cellStyle name="Normal 5 2 2 2 2 3 6 3" xfId="11076" xr:uid="{1FB4C43B-BEF1-49AA-8172-51458DCC2D21}"/>
    <cellStyle name="Normal 5 2 2 2 2 3 7" xfId="4787" xr:uid="{00000000-0005-0000-0000-000034170000}"/>
    <cellStyle name="Normal 5 2 2 2 2 3 7 2" xfId="13229" xr:uid="{C1FD4B07-B20A-47F1-8511-81A132B76A48}"/>
    <cellStyle name="Normal 5 2 2 2 2 3 8" xfId="9011" xr:uid="{63E16671-88B2-4E8B-AB6C-A0172103E65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8885593F-0437-4E38-97DB-5628867F31F7}"/>
    <cellStyle name="Normal 5 2 2 2 2 4 2 3" xfId="11566" xr:uid="{B42A7CA9-60F0-448C-B721-AF59BE899790}"/>
    <cellStyle name="Normal 5 2 2 2 2 4 3" xfId="5197" xr:uid="{00000000-0005-0000-0000-000038170000}"/>
    <cellStyle name="Normal 5 2 2 2 2 4 3 2" xfId="13639" xr:uid="{8B67629E-D60B-42A0-903A-C674764967E9}"/>
    <cellStyle name="Normal 5 2 2 2 2 4 4" xfId="9421" xr:uid="{FF10F2C2-FF65-45A8-AFB5-EF7D0A0729E1}"/>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20C41BF7-8EB4-468B-A2D1-8E6877B35601}"/>
    <cellStyle name="Normal 5 2 2 2 2 5 2 3" xfId="11979" xr:uid="{2B6AC9DC-695A-4CFD-8AE9-612EF66E23AD}"/>
    <cellStyle name="Normal 5 2 2 2 2 5 3" xfId="5610" xr:uid="{00000000-0005-0000-0000-00003C170000}"/>
    <cellStyle name="Normal 5 2 2 2 2 5 3 2" xfId="14052" xr:uid="{07279801-8FCC-4AE4-A389-0D1B02B65953}"/>
    <cellStyle name="Normal 5 2 2 2 2 5 4" xfId="9834" xr:uid="{73962242-60F8-4ADC-BF69-1356D71D072B}"/>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051B9848-B2A4-4238-A835-F8E9F51087C3}"/>
    <cellStyle name="Normal 5 2 2 2 2 6 2 3" xfId="12392" xr:uid="{5B3E2424-E819-4886-9C2E-A08C4DA8CBA7}"/>
    <cellStyle name="Normal 5 2 2 2 2 6 3" xfId="6023" xr:uid="{00000000-0005-0000-0000-000040170000}"/>
    <cellStyle name="Normal 5 2 2 2 2 6 3 2" xfId="14465" xr:uid="{CAA1959B-07A4-4E57-AE10-E6827E49B950}"/>
    <cellStyle name="Normal 5 2 2 2 2 6 4" xfId="10247" xr:uid="{A2B0B782-B13D-4518-994A-8F4E3B59118D}"/>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557A4C39-4C50-42DB-BA9D-9586E08C9DF5}"/>
    <cellStyle name="Normal 5 2 2 2 2 7 2 3" xfId="12805" xr:uid="{7BEDDFA3-2186-431A-BD31-EC7575234048}"/>
    <cellStyle name="Normal 5 2 2 2 2 7 3" xfId="6436" xr:uid="{00000000-0005-0000-0000-000044170000}"/>
    <cellStyle name="Normal 5 2 2 2 2 7 3 2" xfId="14878" xr:uid="{EDE7B2F7-4063-4557-BF39-378670C26EDE}"/>
    <cellStyle name="Normal 5 2 2 2 2 7 4" xfId="10660" xr:uid="{1EC8C897-9377-4296-A646-9C573EBCFC21}"/>
    <cellStyle name="Normal 5 2 2 2 2 8" xfId="2565" xr:uid="{00000000-0005-0000-0000-000045170000}"/>
    <cellStyle name="Normal 5 2 2 2 2 8 2" xfId="6849" xr:uid="{00000000-0005-0000-0000-000046170000}"/>
    <cellStyle name="Normal 5 2 2 2 2 8 2 2" xfId="15291" xr:uid="{16341A7C-DC68-456F-AB00-E1E4FEDE475A}"/>
    <cellStyle name="Normal 5 2 2 2 2 8 3" xfId="11073" xr:uid="{35CA2453-EBCC-494F-BA94-F6B668209757}"/>
    <cellStyle name="Normal 5 2 2 2 2 9" xfId="4784" xr:uid="{00000000-0005-0000-0000-000047170000}"/>
    <cellStyle name="Normal 5 2 2 2 2 9 2" xfId="13226" xr:uid="{3A13431B-D90D-4B8B-957F-223D9A203B7F}"/>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D8669E95-5D96-460B-A927-6B25282C62A7}"/>
    <cellStyle name="Normal 5 2 2 2 3 2 2 2 3" xfId="11571" xr:uid="{775B5CCB-684A-4D66-A218-2CE76C0979E2}"/>
    <cellStyle name="Normal 5 2 2 2 3 2 2 3" xfId="5202" xr:uid="{00000000-0005-0000-0000-00004D170000}"/>
    <cellStyle name="Normal 5 2 2 2 3 2 2 3 2" xfId="13644" xr:uid="{8502D2F8-1A9C-470D-8610-D2BCCFA0F2D7}"/>
    <cellStyle name="Normal 5 2 2 2 3 2 2 4" xfId="9426" xr:uid="{27913811-C9A7-464B-AB90-C72C165B2872}"/>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611CAA18-56E6-4B46-91E0-EBDA20CAA458}"/>
    <cellStyle name="Normal 5 2 2 2 3 2 3 2 3" xfId="11984" xr:uid="{4E717E1E-BBC9-4860-B712-ABAE4020F8AC}"/>
    <cellStyle name="Normal 5 2 2 2 3 2 3 3" xfId="5615" xr:uid="{00000000-0005-0000-0000-000051170000}"/>
    <cellStyle name="Normal 5 2 2 2 3 2 3 3 2" xfId="14057" xr:uid="{2540EBD2-6A56-4142-9CBA-95B7106ED920}"/>
    <cellStyle name="Normal 5 2 2 2 3 2 3 4" xfId="9839" xr:uid="{EC5631E0-278E-493A-ADD6-B6CB357BA95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6C5C78C9-C6DF-4B97-A002-F5B992927C82}"/>
    <cellStyle name="Normal 5 2 2 2 3 2 4 2 3" xfId="12397" xr:uid="{9DF77D98-2E30-48AF-BE4D-920B7289A322}"/>
    <cellStyle name="Normal 5 2 2 2 3 2 4 3" xfId="6028" xr:uid="{00000000-0005-0000-0000-000055170000}"/>
    <cellStyle name="Normal 5 2 2 2 3 2 4 3 2" xfId="14470" xr:uid="{E88B8403-4E0F-47EF-A779-1504BA97E788}"/>
    <cellStyle name="Normal 5 2 2 2 3 2 4 4" xfId="10252" xr:uid="{BEC9E8C6-4230-4167-AEFC-99EEF9A0877B}"/>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7EF4CFD-7A73-480F-9CBE-A21D2FD3BDE7}"/>
    <cellStyle name="Normal 5 2 2 2 3 2 5 2 3" xfId="12810" xr:uid="{2206D3F8-8A9C-48BC-9D2A-AED0C07B756E}"/>
    <cellStyle name="Normal 5 2 2 2 3 2 5 3" xfId="6441" xr:uid="{00000000-0005-0000-0000-000059170000}"/>
    <cellStyle name="Normal 5 2 2 2 3 2 5 3 2" xfId="14883" xr:uid="{BE8A17B6-5975-4333-BA2A-6C8A24EC2AF3}"/>
    <cellStyle name="Normal 5 2 2 2 3 2 5 4" xfId="10665" xr:uid="{52868977-A0E0-4020-BDD0-02D97BB8E347}"/>
    <cellStyle name="Normal 5 2 2 2 3 2 6" xfId="2570" xr:uid="{00000000-0005-0000-0000-00005A170000}"/>
    <cellStyle name="Normal 5 2 2 2 3 2 6 2" xfId="6854" xr:uid="{00000000-0005-0000-0000-00005B170000}"/>
    <cellStyle name="Normal 5 2 2 2 3 2 6 2 2" xfId="15296" xr:uid="{ADA22E3A-D86F-4BF6-952F-69EA8B753F99}"/>
    <cellStyle name="Normal 5 2 2 2 3 2 6 3" xfId="11078" xr:uid="{C4C3B6C4-1D45-42C7-8109-ED6F03127218}"/>
    <cellStyle name="Normal 5 2 2 2 3 2 7" xfId="4789" xr:uid="{00000000-0005-0000-0000-00005C170000}"/>
    <cellStyle name="Normal 5 2 2 2 3 2 7 2" xfId="13231" xr:uid="{283B9C0C-9C04-4F4F-9417-E5ADE94DC7C1}"/>
    <cellStyle name="Normal 5 2 2 2 3 2 8" xfId="9013" xr:uid="{E85D2530-D5D6-4755-905B-AA3CAA111FDD}"/>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2ED9F365-FE1E-4D8D-A283-18BE11289458}"/>
    <cellStyle name="Normal 5 2 2 2 3 3 2 3" xfId="11570" xr:uid="{17BE752F-C9AD-486E-B624-8FD43301885E}"/>
    <cellStyle name="Normal 5 2 2 2 3 3 3" xfId="5201" xr:uid="{00000000-0005-0000-0000-000060170000}"/>
    <cellStyle name="Normal 5 2 2 2 3 3 3 2" xfId="13643" xr:uid="{B2CB6505-1151-4A11-9A11-D3C240834CCE}"/>
    <cellStyle name="Normal 5 2 2 2 3 3 4" xfId="9425" xr:uid="{3790927D-A99A-4FF3-83FC-D4091E0ED5B5}"/>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AD18B6FB-5947-496F-AF73-65573558A2B5}"/>
    <cellStyle name="Normal 5 2 2 2 3 4 2 3" xfId="11983" xr:uid="{1515C1DB-8F8A-4427-9DE4-5436B0F36BBE}"/>
    <cellStyle name="Normal 5 2 2 2 3 4 3" xfId="5614" xr:uid="{00000000-0005-0000-0000-000064170000}"/>
    <cellStyle name="Normal 5 2 2 2 3 4 3 2" xfId="14056" xr:uid="{780D34BB-6625-46E0-937E-BE4680EFE31C}"/>
    <cellStyle name="Normal 5 2 2 2 3 4 4" xfId="9838" xr:uid="{ABD904FF-80E0-4D9E-B4F7-E7544A2100E4}"/>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2D48D18A-93A2-4F4E-96B2-2BD0DD8A0EEF}"/>
    <cellStyle name="Normal 5 2 2 2 3 5 2 3" xfId="12396" xr:uid="{56DA5EBA-E1CE-4E8C-A049-CDD0939EA86E}"/>
    <cellStyle name="Normal 5 2 2 2 3 5 3" xfId="6027" xr:uid="{00000000-0005-0000-0000-000068170000}"/>
    <cellStyle name="Normal 5 2 2 2 3 5 3 2" xfId="14469" xr:uid="{8DB25D65-DB72-411F-80FE-504062747A2A}"/>
    <cellStyle name="Normal 5 2 2 2 3 5 4" xfId="10251" xr:uid="{FA18F944-FBA3-4A15-9368-D76EE442173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140A6DC4-6C8E-4F21-AFF6-EBDF86994062}"/>
    <cellStyle name="Normal 5 2 2 2 3 6 2 3" xfId="12809" xr:uid="{70E2997D-AA45-4494-8854-6CC5AD48CDEF}"/>
    <cellStyle name="Normal 5 2 2 2 3 6 3" xfId="6440" xr:uid="{00000000-0005-0000-0000-00006C170000}"/>
    <cellStyle name="Normal 5 2 2 2 3 6 3 2" xfId="14882" xr:uid="{AF49809B-03E0-49B0-8150-13030CC384FA}"/>
    <cellStyle name="Normal 5 2 2 2 3 6 4" xfId="10664" xr:uid="{431A9650-694B-4BD5-A970-FDDA80C44E16}"/>
    <cellStyle name="Normal 5 2 2 2 3 7" xfId="2569" xr:uid="{00000000-0005-0000-0000-00006D170000}"/>
    <cellStyle name="Normal 5 2 2 2 3 7 2" xfId="6853" xr:uid="{00000000-0005-0000-0000-00006E170000}"/>
    <cellStyle name="Normal 5 2 2 2 3 7 2 2" xfId="15295" xr:uid="{2F648AC9-AF5C-471A-80B6-26CD7440464B}"/>
    <cellStyle name="Normal 5 2 2 2 3 7 3" xfId="11077" xr:uid="{85983339-395F-4921-991D-0C92DD26EC17}"/>
    <cellStyle name="Normal 5 2 2 2 3 8" xfId="4788" xr:uid="{00000000-0005-0000-0000-00006F170000}"/>
    <cellStyle name="Normal 5 2 2 2 3 8 2" xfId="13230" xr:uid="{A491FC64-FC93-4CA1-A56A-6C6074BF8ADA}"/>
    <cellStyle name="Normal 5 2 2 2 3 9" xfId="9012" xr:uid="{AFD19D21-89F6-4DC4-A399-5DB0E8D24D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84FCEDB0-0FD0-438A-8117-B3787FE561C1}"/>
    <cellStyle name="Normal 5 2 2 2 4 2 2 3" xfId="11572" xr:uid="{4AC40C2C-928F-4975-9B60-015B606D3C43}"/>
    <cellStyle name="Normal 5 2 2 2 4 2 3" xfId="5203" xr:uid="{00000000-0005-0000-0000-000074170000}"/>
    <cellStyle name="Normal 5 2 2 2 4 2 3 2" xfId="13645" xr:uid="{76F287D5-076F-4BC7-B355-1C781213231B}"/>
    <cellStyle name="Normal 5 2 2 2 4 2 4" xfId="9427" xr:uid="{697883DA-06CB-40F8-86C3-7DDF4A2FAA4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F9DAB8A0-2F67-45A9-9E3A-09757B0766B9}"/>
    <cellStyle name="Normal 5 2 2 2 4 3 2 3" xfId="11985" xr:uid="{BB7D8DAE-1DC7-49F9-B506-2CEAA3E12916}"/>
    <cellStyle name="Normal 5 2 2 2 4 3 3" xfId="5616" xr:uid="{00000000-0005-0000-0000-000078170000}"/>
    <cellStyle name="Normal 5 2 2 2 4 3 3 2" xfId="14058" xr:uid="{874747D3-56BC-425B-9E2F-518A69338E2B}"/>
    <cellStyle name="Normal 5 2 2 2 4 3 4" xfId="9840" xr:uid="{58462D58-A9DF-469E-B1C4-17F51EEE2C52}"/>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D6217CEF-EDE3-4A40-B569-B30B8E9228D6}"/>
    <cellStyle name="Normal 5 2 2 2 4 4 2 3" xfId="12398" xr:uid="{29BE6162-1D1B-43D4-8BDD-75CE9CCADEF0}"/>
    <cellStyle name="Normal 5 2 2 2 4 4 3" xfId="6029" xr:uid="{00000000-0005-0000-0000-00007C170000}"/>
    <cellStyle name="Normal 5 2 2 2 4 4 3 2" xfId="14471" xr:uid="{279049D2-7529-4C0F-B710-2B2B06A6E86E}"/>
    <cellStyle name="Normal 5 2 2 2 4 4 4" xfId="10253" xr:uid="{35390795-2E18-4966-9A0A-E0C7623A1E09}"/>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7D0AC774-48EE-445B-9C08-A9D7BF6ADEC9}"/>
    <cellStyle name="Normal 5 2 2 2 4 5 2 3" xfId="12811" xr:uid="{6122F2EB-FE5F-42AB-9A68-3D6D5CF2DAEE}"/>
    <cellStyle name="Normal 5 2 2 2 4 5 3" xfId="6442" xr:uid="{00000000-0005-0000-0000-000080170000}"/>
    <cellStyle name="Normal 5 2 2 2 4 5 3 2" xfId="14884" xr:uid="{BA74FE9B-00E9-43C2-87F3-4350E1DD83CC}"/>
    <cellStyle name="Normal 5 2 2 2 4 5 4" xfId="10666" xr:uid="{9EE4F5EF-9364-4096-95D8-A1295057C1BC}"/>
    <cellStyle name="Normal 5 2 2 2 4 6" xfId="2571" xr:uid="{00000000-0005-0000-0000-000081170000}"/>
    <cellStyle name="Normal 5 2 2 2 4 6 2" xfId="6855" xr:uid="{00000000-0005-0000-0000-000082170000}"/>
    <cellStyle name="Normal 5 2 2 2 4 6 2 2" xfId="15297" xr:uid="{7504F71C-7A75-45C1-83C5-985FA47B6FF9}"/>
    <cellStyle name="Normal 5 2 2 2 4 6 3" xfId="11079" xr:uid="{25C0824F-DB8F-40F0-9CCB-447E6673607C}"/>
    <cellStyle name="Normal 5 2 2 2 4 7" xfId="4790" xr:uid="{00000000-0005-0000-0000-000083170000}"/>
    <cellStyle name="Normal 5 2 2 2 4 7 2" xfId="13232" xr:uid="{3ED4DAD0-50AD-4F40-A28B-1818843B47D1}"/>
    <cellStyle name="Normal 5 2 2 2 4 8" xfId="9014" xr:uid="{81E69E19-57C2-4F7A-A27A-5B2CF95A0296}"/>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21C6F1FC-97C3-4D5C-8956-BBA1EC6D3C79}"/>
    <cellStyle name="Normal 5 2 2 2 5 2 3" xfId="11565" xr:uid="{D23E2F71-7EA5-47EC-929A-333D231549EB}"/>
    <cellStyle name="Normal 5 2 2 2 5 3" xfId="5196" xr:uid="{00000000-0005-0000-0000-000087170000}"/>
    <cellStyle name="Normal 5 2 2 2 5 3 2" xfId="13638" xr:uid="{30BE20C6-765E-49DE-A918-92D596F7C0C1}"/>
    <cellStyle name="Normal 5 2 2 2 5 4" xfId="9420" xr:uid="{5969D950-9073-487D-BB66-AE07BD4B0B17}"/>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2D593262-6210-4544-8E15-94B9B164404F}"/>
    <cellStyle name="Normal 5 2 2 2 6 2 3" xfId="11978" xr:uid="{0400F17D-36FE-49CC-87C9-6311DBA8DB28}"/>
    <cellStyle name="Normal 5 2 2 2 6 3" xfId="5609" xr:uid="{00000000-0005-0000-0000-00008B170000}"/>
    <cellStyle name="Normal 5 2 2 2 6 3 2" xfId="14051" xr:uid="{7CE02411-5F79-4D7F-9BEC-4006A4727216}"/>
    <cellStyle name="Normal 5 2 2 2 6 4" xfId="9833" xr:uid="{D27E6E7C-6D63-4ECB-B9EC-68CEEF4ABCBB}"/>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981FF0BC-FFBD-4943-88E2-1D71BDB4F309}"/>
    <cellStyle name="Normal 5 2 2 2 7 2 3" xfId="12391" xr:uid="{2C2B02B8-445B-4E99-B32E-C5CB6B87BFB4}"/>
    <cellStyle name="Normal 5 2 2 2 7 3" xfId="6022" xr:uid="{00000000-0005-0000-0000-00008F170000}"/>
    <cellStyle name="Normal 5 2 2 2 7 3 2" xfId="14464" xr:uid="{559A038F-26C2-4ACD-A0DF-6B06CAD9C8C7}"/>
    <cellStyle name="Normal 5 2 2 2 7 4" xfId="10246" xr:uid="{526A6DFF-5A10-4075-BB13-76D36C3D5F4B}"/>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C54A12E1-69CA-4C57-9B34-E3A354D11FB7}"/>
    <cellStyle name="Normal 5 2 2 2 8 2 3" xfId="12804" xr:uid="{B77B43F4-9EB4-4774-A786-62F58776AD4A}"/>
    <cellStyle name="Normal 5 2 2 2 8 3" xfId="6435" xr:uid="{00000000-0005-0000-0000-000093170000}"/>
    <cellStyle name="Normal 5 2 2 2 8 3 2" xfId="14877" xr:uid="{E3D73A1A-EA34-467D-9B5E-E7413A834C0B}"/>
    <cellStyle name="Normal 5 2 2 2 8 4" xfId="10659" xr:uid="{60999354-BF70-4766-ADC0-EEA558C1332A}"/>
    <cellStyle name="Normal 5 2 2 2 9" xfId="2564" xr:uid="{00000000-0005-0000-0000-000094170000}"/>
    <cellStyle name="Normal 5 2 2 2 9 2" xfId="6848" xr:uid="{00000000-0005-0000-0000-000095170000}"/>
    <cellStyle name="Normal 5 2 2 2 9 2 2" xfId="15290" xr:uid="{882AB16B-2104-4F0B-94B3-767B8197A170}"/>
    <cellStyle name="Normal 5 2 2 2 9 3" xfId="11072" xr:uid="{4076AC80-8B5A-4527-A1E7-9712253E7DD8}"/>
    <cellStyle name="Normal 5 2 2 3" xfId="417" xr:uid="{00000000-0005-0000-0000-000096170000}"/>
    <cellStyle name="Normal 5 2 2 3 10" xfId="9015" xr:uid="{F080280C-7C90-4A7D-8103-2D6565A1CCEF}"/>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46FDD41-3DEC-484B-BF06-9ACC2ED52D48}"/>
    <cellStyle name="Normal 5 2 2 3 2 2 2 2 3" xfId="11575" xr:uid="{35AE2E98-B825-4097-A815-4B976DE50B25}"/>
    <cellStyle name="Normal 5 2 2 3 2 2 2 3" xfId="5206" xr:uid="{00000000-0005-0000-0000-00009C170000}"/>
    <cellStyle name="Normal 5 2 2 3 2 2 2 3 2" xfId="13648" xr:uid="{29E09E65-CCC4-4BCF-9E3C-FCCEEC24495C}"/>
    <cellStyle name="Normal 5 2 2 3 2 2 2 4" xfId="9430" xr:uid="{AD19DE40-B914-46CA-BAEE-053366E474CF}"/>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25403471-222F-4747-94A8-C1D451F412D7}"/>
    <cellStyle name="Normal 5 2 2 3 2 2 3 2 3" xfId="11988" xr:uid="{2BFBE9B8-9DE9-4641-892C-041CA46F3EF3}"/>
    <cellStyle name="Normal 5 2 2 3 2 2 3 3" xfId="5619" xr:uid="{00000000-0005-0000-0000-0000A0170000}"/>
    <cellStyle name="Normal 5 2 2 3 2 2 3 3 2" xfId="14061" xr:uid="{4E2DA515-3D13-438B-8281-7A5B5083642D}"/>
    <cellStyle name="Normal 5 2 2 3 2 2 3 4" xfId="9843" xr:uid="{727D685C-7D24-4978-8145-B1F472AC16B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5934885B-DC69-49DB-B262-6652F17F58BB}"/>
    <cellStyle name="Normal 5 2 2 3 2 2 4 2 3" xfId="12401" xr:uid="{DA748907-0B13-4E2F-91EB-1A762527CE63}"/>
    <cellStyle name="Normal 5 2 2 3 2 2 4 3" xfId="6032" xr:uid="{00000000-0005-0000-0000-0000A4170000}"/>
    <cellStyle name="Normal 5 2 2 3 2 2 4 3 2" xfId="14474" xr:uid="{9F5128D3-46FA-462B-B083-277A64461586}"/>
    <cellStyle name="Normal 5 2 2 3 2 2 4 4" xfId="10256" xr:uid="{C3E4D2B4-F689-45F2-93CB-861B8BD64A29}"/>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825AFD8A-7948-45F1-A544-A165C68A206C}"/>
    <cellStyle name="Normal 5 2 2 3 2 2 5 2 3" xfId="12814" xr:uid="{CCD951ED-C716-4ED0-BCD3-7AFA67E85F3F}"/>
    <cellStyle name="Normal 5 2 2 3 2 2 5 3" xfId="6445" xr:uid="{00000000-0005-0000-0000-0000A8170000}"/>
    <cellStyle name="Normal 5 2 2 3 2 2 5 3 2" xfId="14887" xr:uid="{CA343197-AABB-4F77-A2C6-F16115364510}"/>
    <cellStyle name="Normal 5 2 2 3 2 2 5 4" xfId="10669" xr:uid="{0998223C-5ADF-42E1-B92C-4B6593DB6551}"/>
    <cellStyle name="Normal 5 2 2 3 2 2 6" xfId="2574" xr:uid="{00000000-0005-0000-0000-0000A9170000}"/>
    <cellStyle name="Normal 5 2 2 3 2 2 6 2" xfId="6858" xr:uid="{00000000-0005-0000-0000-0000AA170000}"/>
    <cellStyle name="Normal 5 2 2 3 2 2 6 2 2" xfId="15300" xr:uid="{6379A0E0-8D15-4539-89BE-C09B44BDEFAC}"/>
    <cellStyle name="Normal 5 2 2 3 2 2 6 3" xfId="11082" xr:uid="{BAF2F10C-1A79-4147-A91D-60EBFBD69618}"/>
    <cellStyle name="Normal 5 2 2 3 2 2 7" xfId="4793" xr:uid="{00000000-0005-0000-0000-0000AB170000}"/>
    <cellStyle name="Normal 5 2 2 3 2 2 7 2" xfId="13235" xr:uid="{B25481BF-DB2C-4F22-BE04-50F22FD082F3}"/>
    <cellStyle name="Normal 5 2 2 3 2 2 8" xfId="9017" xr:uid="{42FB0816-52C7-417C-B854-72759FB494A6}"/>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E1C91638-710C-4BAE-9CA1-7B58BAE7FDFE}"/>
    <cellStyle name="Normal 5 2 2 3 2 3 2 3" xfId="11574" xr:uid="{0C020DAB-97D9-443B-B9D4-4F2C4A48D40F}"/>
    <cellStyle name="Normal 5 2 2 3 2 3 3" xfId="5205" xr:uid="{00000000-0005-0000-0000-0000AF170000}"/>
    <cellStyle name="Normal 5 2 2 3 2 3 3 2" xfId="13647" xr:uid="{A044BCC1-13B0-440D-B0B1-A003A6E5F84C}"/>
    <cellStyle name="Normal 5 2 2 3 2 3 4" xfId="9429" xr:uid="{6AB81910-DE70-4C72-8E88-E5CA13D3A35F}"/>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7D553281-33A0-40AA-8669-93448DBB5B29}"/>
    <cellStyle name="Normal 5 2 2 3 2 4 2 3" xfId="11987" xr:uid="{9FCB2280-3A0C-4485-A4E4-33C0EC45FA65}"/>
    <cellStyle name="Normal 5 2 2 3 2 4 3" xfId="5618" xr:uid="{00000000-0005-0000-0000-0000B3170000}"/>
    <cellStyle name="Normal 5 2 2 3 2 4 3 2" xfId="14060" xr:uid="{B571B1E1-3FCE-47BB-8E5F-7C3F44C8F38D}"/>
    <cellStyle name="Normal 5 2 2 3 2 4 4" xfId="9842" xr:uid="{AEDE508D-040B-4069-982C-A9861E37342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67257CF8-E675-469C-90DA-1A3E456FC50D}"/>
    <cellStyle name="Normal 5 2 2 3 2 5 2 3" xfId="12400" xr:uid="{AB2B88E5-CFAE-4ABA-96BA-139DEF6AF246}"/>
    <cellStyle name="Normal 5 2 2 3 2 5 3" xfId="6031" xr:uid="{00000000-0005-0000-0000-0000B7170000}"/>
    <cellStyle name="Normal 5 2 2 3 2 5 3 2" xfId="14473" xr:uid="{6C1AE540-19B8-4B33-B13D-A86DF5E739E6}"/>
    <cellStyle name="Normal 5 2 2 3 2 5 4" xfId="10255" xr:uid="{83CCB87A-4FB1-4290-8017-6BCF74F588D6}"/>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1C18B2E6-DAF5-4924-B9E4-164D711BCAE3}"/>
    <cellStyle name="Normal 5 2 2 3 2 6 2 3" xfId="12813" xr:uid="{0ED4EB6A-4F9F-4CDA-82D8-F292BE5F3D42}"/>
    <cellStyle name="Normal 5 2 2 3 2 6 3" xfId="6444" xr:uid="{00000000-0005-0000-0000-0000BB170000}"/>
    <cellStyle name="Normal 5 2 2 3 2 6 3 2" xfId="14886" xr:uid="{0B2FA1F5-E4B3-49FE-8A42-194F575396AD}"/>
    <cellStyle name="Normal 5 2 2 3 2 6 4" xfId="10668" xr:uid="{7ABF6C6D-5A0C-4195-BCE8-8CC88C48F672}"/>
    <cellStyle name="Normal 5 2 2 3 2 7" xfId="2573" xr:uid="{00000000-0005-0000-0000-0000BC170000}"/>
    <cellStyle name="Normal 5 2 2 3 2 7 2" xfId="6857" xr:uid="{00000000-0005-0000-0000-0000BD170000}"/>
    <cellStyle name="Normal 5 2 2 3 2 7 2 2" xfId="15299" xr:uid="{662AE538-AEBF-4361-BC20-025A8D0CC072}"/>
    <cellStyle name="Normal 5 2 2 3 2 7 3" xfId="11081" xr:uid="{E6D4F392-7320-4435-B4F5-A694DF45FB94}"/>
    <cellStyle name="Normal 5 2 2 3 2 8" xfId="4792" xr:uid="{00000000-0005-0000-0000-0000BE170000}"/>
    <cellStyle name="Normal 5 2 2 3 2 8 2" xfId="13234" xr:uid="{B9439224-31CF-400A-8B5E-D6DBFB8F1D2D}"/>
    <cellStyle name="Normal 5 2 2 3 2 9" xfId="9016" xr:uid="{A9368B55-6AD9-44B9-8FDB-BC406BA4148F}"/>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784DDCF8-F2CE-42CB-B997-3A9A2A0B92B3}"/>
    <cellStyle name="Normal 5 2 2 3 3 2 2 3" xfId="11576" xr:uid="{8962E054-FDE0-4D88-BE0E-18A23404ADEB}"/>
    <cellStyle name="Normal 5 2 2 3 3 2 3" xfId="5207" xr:uid="{00000000-0005-0000-0000-0000C3170000}"/>
    <cellStyle name="Normal 5 2 2 3 3 2 3 2" xfId="13649" xr:uid="{B91B06DD-A203-46D2-8331-DE6BB5B276F7}"/>
    <cellStyle name="Normal 5 2 2 3 3 2 4" xfId="9431" xr:uid="{840C42F4-94DA-4E88-A449-5E0A9516DC7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496EC5C7-2FAE-466D-9BAB-EBB427D98572}"/>
    <cellStyle name="Normal 5 2 2 3 3 3 2 3" xfId="11989" xr:uid="{9024985F-B01D-4BA1-86CC-2C6CCEDC69A3}"/>
    <cellStyle name="Normal 5 2 2 3 3 3 3" xfId="5620" xr:uid="{00000000-0005-0000-0000-0000C7170000}"/>
    <cellStyle name="Normal 5 2 2 3 3 3 3 2" xfId="14062" xr:uid="{570D5963-1C41-4E86-B659-4BB8841640F6}"/>
    <cellStyle name="Normal 5 2 2 3 3 3 4" xfId="9844" xr:uid="{C3CD9033-FD9B-45F2-AB48-402FA6750C03}"/>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09E086BA-40AE-4E4F-A864-2471D021C4DD}"/>
    <cellStyle name="Normal 5 2 2 3 3 4 2 3" xfId="12402" xr:uid="{6770109C-63C3-4456-BF4C-AE162EEF96D9}"/>
    <cellStyle name="Normal 5 2 2 3 3 4 3" xfId="6033" xr:uid="{00000000-0005-0000-0000-0000CB170000}"/>
    <cellStyle name="Normal 5 2 2 3 3 4 3 2" xfId="14475" xr:uid="{715F4B11-6614-455B-ABD7-A2F7329208FA}"/>
    <cellStyle name="Normal 5 2 2 3 3 4 4" xfId="10257" xr:uid="{BED6F286-451C-4DA8-9FD1-62E55A07D906}"/>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8C70099B-5477-4771-8259-7DEF9114D7BF}"/>
    <cellStyle name="Normal 5 2 2 3 3 5 2 3" xfId="12815" xr:uid="{AEF92E22-67D8-4F7A-9F9A-85554B921B39}"/>
    <cellStyle name="Normal 5 2 2 3 3 5 3" xfId="6446" xr:uid="{00000000-0005-0000-0000-0000CF170000}"/>
    <cellStyle name="Normal 5 2 2 3 3 5 3 2" xfId="14888" xr:uid="{C05FA5D2-6801-43D3-8C4C-3FF7BFAF0A57}"/>
    <cellStyle name="Normal 5 2 2 3 3 5 4" xfId="10670" xr:uid="{03BEB5A1-4B61-4E37-A5E1-9840CDF67134}"/>
    <cellStyle name="Normal 5 2 2 3 3 6" xfId="2575" xr:uid="{00000000-0005-0000-0000-0000D0170000}"/>
    <cellStyle name="Normal 5 2 2 3 3 6 2" xfId="6859" xr:uid="{00000000-0005-0000-0000-0000D1170000}"/>
    <cellStyle name="Normal 5 2 2 3 3 6 2 2" xfId="15301" xr:uid="{698148F4-89BA-43FD-BED9-F76E7ACB48AF}"/>
    <cellStyle name="Normal 5 2 2 3 3 6 3" xfId="11083" xr:uid="{3493BFD0-3A29-49A4-AB52-8EB99A897245}"/>
    <cellStyle name="Normal 5 2 2 3 3 7" xfId="4794" xr:uid="{00000000-0005-0000-0000-0000D2170000}"/>
    <cellStyle name="Normal 5 2 2 3 3 7 2" xfId="13236" xr:uid="{DAA3D40E-8239-4CB2-BC3A-749ED609A278}"/>
    <cellStyle name="Normal 5 2 2 3 3 8" xfId="9018" xr:uid="{B42A9783-261D-4E05-A2BD-F13BB935B001}"/>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6047AB4C-749A-4360-86F7-2AE0C77737B5}"/>
    <cellStyle name="Normal 5 2 2 3 4 2 3" xfId="11573" xr:uid="{700D4901-3DF6-426B-9642-BBEAB57BF9C4}"/>
    <cellStyle name="Normal 5 2 2 3 4 3" xfId="5204" xr:uid="{00000000-0005-0000-0000-0000D6170000}"/>
    <cellStyle name="Normal 5 2 2 3 4 3 2" xfId="13646" xr:uid="{EDEAE130-38FD-4E6D-A17D-F6E6ED58EFEF}"/>
    <cellStyle name="Normal 5 2 2 3 4 4" xfId="9428" xr:uid="{BAFB947D-79F0-4BEE-87EF-6EDE4F654760}"/>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F43ECBE7-D4DC-4906-89FB-12FDE48C8852}"/>
    <cellStyle name="Normal 5 2 2 3 5 2 3" xfId="11986" xr:uid="{18B672C9-68A6-475F-B393-D34661D1AA2D}"/>
    <cellStyle name="Normal 5 2 2 3 5 3" xfId="5617" xr:uid="{00000000-0005-0000-0000-0000DA170000}"/>
    <cellStyle name="Normal 5 2 2 3 5 3 2" xfId="14059" xr:uid="{CEFC71F9-773C-4D61-9C3F-341A6CEBD56A}"/>
    <cellStyle name="Normal 5 2 2 3 5 4" xfId="9841" xr:uid="{82CEABDD-DA9A-4A78-9466-45F34B1A9444}"/>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65DA834D-3A5A-4B01-A6D5-E926AD9DA058}"/>
    <cellStyle name="Normal 5 2 2 3 6 2 3" xfId="12399" xr:uid="{F7E94A0F-B07F-4E82-BA56-CF7179E20D8C}"/>
    <cellStyle name="Normal 5 2 2 3 6 3" xfId="6030" xr:uid="{00000000-0005-0000-0000-0000DE170000}"/>
    <cellStyle name="Normal 5 2 2 3 6 3 2" xfId="14472" xr:uid="{8A82028B-3757-4137-B9E2-A37A9BBD5292}"/>
    <cellStyle name="Normal 5 2 2 3 6 4" xfId="10254" xr:uid="{F181C9CA-8B51-4162-9C7A-A1B433CEEA96}"/>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E6CCBAEE-A465-4D71-9B68-E1121E4416C4}"/>
    <cellStyle name="Normal 5 2 2 3 7 2 3" xfId="12812" xr:uid="{60E71B74-DBC4-4C94-8FC0-930EB5040218}"/>
    <cellStyle name="Normal 5 2 2 3 7 3" xfId="6443" xr:uid="{00000000-0005-0000-0000-0000E2170000}"/>
    <cellStyle name="Normal 5 2 2 3 7 3 2" xfId="14885" xr:uid="{A8EC0CFB-F91C-4575-A68D-8824AEC3AD78}"/>
    <cellStyle name="Normal 5 2 2 3 7 4" xfId="10667" xr:uid="{8793F8DB-E792-4735-8F36-81C9DC9F944F}"/>
    <cellStyle name="Normal 5 2 2 3 8" xfId="2572" xr:uid="{00000000-0005-0000-0000-0000E3170000}"/>
    <cellStyle name="Normal 5 2 2 3 8 2" xfId="6856" xr:uid="{00000000-0005-0000-0000-0000E4170000}"/>
    <cellStyle name="Normal 5 2 2 3 8 2 2" xfId="15298" xr:uid="{6AE6C47E-42C3-4082-A108-3825F05E405A}"/>
    <cellStyle name="Normal 5 2 2 3 8 3" xfId="11080" xr:uid="{21DFF587-6B54-491C-98F8-C8A7015B0CB3}"/>
    <cellStyle name="Normal 5 2 2 3 9" xfId="4791" xr:uid="{00000000-0005-0000-0000-0000E5170000}"/>
    <cellStyle name="Normal 5 2 2 3 9 2" xfId="13233" xr:uid="{F1B1629D-DD4E-48DD-97CE-88174F7A2F1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7982E572-E832-47F3-B8F1-2B9238AE7ABF}"/>
    <cellStyle name="Normal 5 2 2 4 2 2 2 3" xfId="11578" xr:uid="{99C0DC7E-4D6B-486A-934A-8E00AC595EE9}"/>
    <cellStyle name="Normal 5 2 2 4 2 2 3" xfId="5209" xr:uid="{00000000-0005-0000-0000-0000EB170000}"/>
    <cellStyle name="Normal 5 2 2 4 2 2 3 2" xfId="13651" xr:uid="{8DB554D7-F7D5-4DBE-AD7D-705DBE660DB9}"/>
    <cellStyle name="Normal 5 2 2 4 2 2 4" xfId="9433" xr:uid="{4995CF6B-0ED7-4C5B-817E-95152A3E355A}"/>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006F2D38-400D-4128-B26A-F4C39DDEC1E3}"/>
    <cellStyle name="Normal 5 2 2 4 2 3 2 3" xfId="11991" xr:uid="{7944F78D-0E9B-429A-9150-DAAA74AE8D4A}"/>
    <cellStyle name="Normal 5 2 2 4 2 3 3" xfId="5622" xr:uid="{00000000-0005-0000-0000-0000EF170000}"/>
    <cellStyle name="Normal 5 2 2 4 2 3 3 2" xfId="14064" xr:uid="{CABE2267-93D6-494E-85C5-CEB87E63D245}"/>
    <cellStyle name="Normal 5 2 2 4 2 3 4" xfId="9846" xr:uid="{7950C63C-29C3-45D9-BA9B-7D5B7B7BDC11}"/>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F5E1A50A-505F-44B9-918E-574C546B207A}"/>
    <cellStyle name="Normal 5 2 2 4 2 4 2 3" xfId="12404" xr:uid="{2DAC390A-6E1B-4FBF-9CA2-6FA1496DAA79}"/>
    <cellStyle name="Normal 5 2 2 4 2 4 3" xfId="6035" xr:uid="{00000000-0005-0000-0000-0000F3170000}"/>
    <cellStyle name="Normal 5 2 2 4 2 4 3 2" xfId="14477" xr:uid="{82804642-4CDA-4149-A3D1-E23942A02AD3}"/>
    <cellStyle name="Normal 5 2 2 4 2 4 4" xfId="10259" xr:uid="{C4AFD3AB-C5C0-4D3E-9CAF-0848F30177AF}"/>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BD4EEC96-2BFC-4E9E-8F41-1D233A8B75B1}"/>
    <cellStyle name="Normal 5 2 2 4 2 5 2 3" xfId="12817" xr:uid="{EEBC42CE-4ED5-4D70-8901-3A8551661CD8}"/>
    <cellStyle name="Normal 5 2 2 4 2 5 3" xfId="6448" xr:uid="{00000000-0005-0000-0000-0000F7170000}"/>
    <cellStyle name="Normal 5 2 2 4 2 5 3 2" xfId="14890" xr:uid="{FC798FE2-4644-4C98-BB58-BB2261D187B6}"/>
    <cellStyle name="Normal 5 2 2 4 2 5 4" xfId="10672" xr:uid="{5EE5D4F4-AB1C-46A9-8512-7232953583A5}"/>
    <cellStyle name="Normal 5 2 2 4 2 6" xfId="2577" xr:uid="{00000000-0005-0000-0000-0000F8170000}"/>
    <cellStyle name="Normal 5 2 2 4 2 6 2" xfId="6861" xr:uid="{00000000-0005-0000-0000-0000F9170000}"/>
    <cellStyle name="Normal 5 2 2 4 2 6 2 2" xfId="15303" xr:uid="{C9F77FDB-8C62-4CD3-9A6C-2614893B2EDC}"/>
    <cellStyle name="Normal 5 2 2 4 2 6 3" xfId="11085" xr:uid="{3B277DD7-790D-4D04-AB6B-6B05AB82C932}"/>
    <cellStyle name="Normal 5 2 2 4 2 7" xfId="4796" xr:uid="{00000000-0005-0000-0000-0000FA170000}"/>
    <cellStyle name="Normal 5 2 2 4 2 7 2" xfId="13238" xr:uid="{29FD56EF-23D8-41C1-BFDA-789FBF8A7252}"/>
    <cellStyle name="Normal 5 2 2 4 2 8" xfId="9020" xr:uid="{D8548B10-40F3-44DB-AAAB-6AF2603F2A18}"/>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58726E0D-8F02-43F4-AAD2-9CBEAEFA1DF3}"/>
    <cellStyle name="Normal 5 2 2 4 3 2 3" xfId="11577" xr:uid="{0DFFE087-6631-405E-BC1F-4D2FA8BDABB2}"/>
    <cellStyle name="Normal 5 2 2 4 3 3" xfId="5208" xr:uid="{00000000-0005-0000-0000-0000FE170000}"/>
    <cellStyle name="Normal 5 2 2 4 3 3 2" xfId="13650" xr:uid="{9A56E031-32B4-49D9-94B8-128CA581CA59}"/>
    <cellStyle name="Normal 5 2 2 4 3 4" xfId="9432" xr:uid="{7A4C008C-9126-40B5-B7DD-5EC8F1912D14}"/>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F192B10D-2689-4B30-8BF7-A09E73242472}"/>
    <cellStyle name="Normal 5 2 2 4 4 2 3" xfId="11990" xr:uid="{0CC057D6-F5A3-4660-A220-30E3D27C0CA6}"/>
    <cellStyle name="Normal 5 2 2 4 4 3" xfId="5621" xr:uid="{00000000-0005-0000-0000-000002180000}"/>
    <cellStyle name="Normal 5 2 2 4 4 3 2" xfId="14063" xr:uid="{3DD2970D-D15B-4681-AF6D-73D828C0CD73}"/>
    <cellStyle name="Normal 5 2 2 4 4 4" xfId="9845" xr:uid="{909B8761-8E8F-407B-A8BA-76DF77D2AC0C}"/>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A116E8DD-7637-458F-8A71-3D486999B687}"/>
    <cellStyle name="Normal 5 2 2 4 5 2 3" xfId="12403" xr:uid="{E76909F0-2553-45F4-A359-6AC844FBE814}"/>
    <cellStyle name="Normal 5 2 2 4 5 3" xfId="6034" xr:uid="{00000000-0005-0000-0000-000006180000}"/>
    <cellStyle name="Normal 5 2 2 4 5 3 2" xfId="14476" xr:uid="{1CB96F3E-C805-4F70-BBE9-C7FC14583D4C}"/>
    <cellStyle name="Normal 5 2 2 4 5 4" xfId="10258" xr:uid="{D5663A0E-31DB-4195-94D3-11D2A9101A8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7A34AD85-80F7-4120-87A1-9C700F3A58ED}"/>
    <cellStyle name="Normal 5 2 2 4 6 2 3" xfId="12816" xr:uid="{52CD7D51-A0E3-4FF0-BBAE-27E50F116EDF}"/>
    <cellStyle name="Normal 5 2 2 4 6 3" xfId="6447" xr:uid="{00000000-0005-0000-0000-00000A180000}"/>
    <cellStyle name="Normal 5 2 2 4 6 3 2" xfId="14889" xr:uid="{5CD629C5-D35E-4BD9-8E47-1039CDE45A52}"/>
    <cellStyle name="Normal 5 2 2 4 6 4" xfId="10671" xr:uid="{24C8EE8A-6395-416B-834E-24094478AAFB}"/>
    <cellStyle name="Normal 5 2 2 4 7" xfId="2576" xr:uid="{00000000-0005-0000-0000-00000B180000}"/>
    <cellStyle name="Normal 5 2 2 4 7 2" xfId="6860" xr:uid="{00000000-0005-0000-0000-00000C180000}"/>
    <cellStyle name="Normal 5 2 2 4 7 2 2" xfId="15302" xr:uid="{841C909D-F91C-4B32-8663-3CDDF7B35BBF}"/>
    <cellStyle name="Normal 5 2 2 4 7 3" xfId="11084" xr:uid="{FBFB6FB2-A65C-4086-899D-932C017671D2}"/>
    <cellStyle name="Normal 5 2 2 4 8" xfId="4795" xr:uid="{00000000-0005-0000-0000-00000D180000}"/>
    <cellStyle name="Normal 5 2 2 4 8 2" xfId="13237" xr:uid="{BEB0709D-462A-469F-8809-76B18B02FE51}"/>
    <cellStyle name="Normal 5 2 2 4 9" xfId="9019" xr:uid="{AA451158-EC06-44E3-885E-E92EE9F13BE6}"/>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E175CBE0-358E-4794-990E-8F4C24B9B6D8}"/>
    <cellStyle name="Normal 5 2 2 5 2 2 3" xfId="11579" xr:uid="{124C16BC-E087-40BD-98FA-E2336EA588CA}"/>
    <cellStyle name="Normal 5 2 2 5 2 3" xfId="5210" xr:uid="{00000000-0005-0000-0000-000012180000}"/>
    <cellStyle name="Normal 5 2 2 5 2 3 2" xfId="13652" xr:uid="{9CDC9DFD-2FFE-41A8-A3DB-3D9529C7C336}"/>
    <cellStyle name="Normal 5 2 2 5 2 4" xfId="9434" xr:uid="{16F52F8C-E507-4892-B1D3-319A9EDE625C}"/>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A76FDF88-CA07-4CB5-9DC5-74C81DB778B4}"/>
    <cellStyle name="Normal 5 2 2 5 3 2 3" xfId="11992" xr:uid="{822FB8D5-CA59-4515-87EE-BC90B648A5B7}"/>
    <cellStyle name="Normal 5 2 2 5 3 3" xfId="5623" xr:uid="{00000000-0005-0000-0000-000016180000}"/>
    <cellStyle name="Normal 5 2 2 5 3 3 2" xfId="14065" xr:uid="{907D4417-079B-423C-BAE2-3A1FEF28474A}"/>
    <cellStyle name="Normal 5 2 2 5 3 4" xfId="9847" xr:uid="{710337BB-1161-4C61-8808-E768D1EFF979}"/>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38C0F216-A400-4AAF-BAA0-6ECD097BB58E}"/>
    <cellStyle name="Normal 5 2 2 5 4 2 3" xfId="12405" xr:uid="{EF0D5A26-D430-4A67-A21F-995406EB8E9F}"/>
    <cellStyle name="Normal 5 2 2 5 4 3" xfId="6036" xr:uid="{00000000-0005-0000-0000-00001A180000}"/>
    <cellStyle name="Normal 5 2 2 5 4 3 2" xfId="14478" xr:uid="{A604BFDF-0D52-438A-B6B0-50EEDCAEDA08}"/>
    <cellStyle name="Normal 5 2 2 5 4 4" xfId="10260" xr:uid="{56D14BE1-9B41-4034-8875-00E8728D3D2A}"/>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4EAB0AC5-5B26-4F0E-9F15-04A42D455EC9}"/>
    <cellStyle name="Normal 5 2 2 5 5 2 3" xfId="12818" xr:uid="{37B2FF68-80DC-40B7-8E89-95A15D759048}"/>
    <cellStyle name="Normal 5 2 2 5 5 3" xfId="6449" xr:uid="{00000000-0005-0000-0000-00001E180000}"/>
    <cellStyle name="Normal 5 2 2 5 5 3 2" xfId="14891" xr:uid="{2063F541-9A70-4C35-A380-BBE577A00746}"/>
    <cellStyle name="Normal 5 2 2 5 5 4" xfId="10673" xr:uid="{27D542A7-153A-443C-9152-04AAD8D6E475}"/>
    <cellStyle name="Normal 5 2 2 5 6" xfId="2578" xr:uid="{00000000-0005-0000-0000-00001F180000}"/>
    <cellStyle name="Normal 5 2 2 5 6 2" xfId="6862" xr:uid="{00000000-0005-0000-0000-000020180000}"/>
    <cellStyle name="Normal 5 2 2 5 6 2 2" xfId="15304" xr:uid="{AF6D28CB-25F1-4826-A48F-BF68F5C2B85A}"/>
    <cellStyle name="Normal 5 2 2 5 6 3" xfId="11086" xr:uid="{EF38216C-58C7-4351-A648-DEB82590159F}"/>
    <cellStyle name="Normal 5 2 2 5 7" xfId="4797" xr:uid="{00000000-0005-0000-0000-000021180000}"/>
    <cellStyle name="Normal 5 2 2 5 7 2" xfId="13239" xr:uid="{E8022133-795D-4E0B-8E42-46EAB1C4A8A3}"/>
    <cellStyle name="Normal 5 2 2 5 8" xfId="9021" xr:uid="{548FF54A-5D36-4776-884B-B6A6762F8F64}"/>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F68D005B-B78F-46FF-8E83-F564DACE27B1}"/>
    <cellStyle name="Normal 5 2 2 6 2 3" xfId="11564" xr:uid="{B466FE40-3E41-4350-84C0-81D3CA84E1B4}"/>
    <cellStyle name="Normal 5 2 2 6 3" xfId="5195" xr:uid="{00000000-0005-0000-0000-000025180000}"/>
    <cellStyle name="Normal 5 2 2 6 3 2" xfId="13637" xr:uid="{608E36E1-4216-41AD-9445-8EA44C985508}"/>
    <cellStyle name="Normal 5 2 2 6 4" xfId="9419" xr:uid="{85668B41-7CD2-4A80-8D3C-9E69351CD657}"/>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13CB2D3B-5644-40DE-9A30-5DE66D302832}"/>
    <cellStyle name="Normal 5 2 2 7 2 3" xfId="11977" xr:uid="{C549F7D2-7906-47BD-9E1B-68538BB0C2A4}"/>
    <cellStyle name="Normal 5 2 2 7 3" xfId="5608" xr:uid="{00000000-0005-0000-0000-000029180000}"/>
    <cellStyle name="Normal 5 2 2 7 3 2" xfId="14050" xr:uid="{A1BF090A-A193-41DA-8E95-D29114C19D99}"/>
    <cellStyle name="Normal 5 2 2 7 4" xfId="9832" xr:uid="{E454E9E2-6B8D-4EAF-94A1-BD2910D30A4B}"/>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AA3E9741-86B5-4753-9013-2EF68C16DEBB}"/>
    <cellStyle name="Normal 5 2 2 8 2 3" xfId="12390" xr:uid="{B774E844-6F71-41E0-86A5-1DDF82FC8D45}"/>
    <cellStyle name="Normal 5 2 2 8 3" xfId="6021" xr:uid="{00000000-0005-0000-0000-00002D180000}"/>
    <cellStyle name="Normal 5 2 2 8 3 2" xfId="14463" xr:uid="{025A25D0-2765-47C6-B2CD-78907F82B413}"/>
    <cellStyle name="Normal 5 2 2 8 4" xfId="10245" xr:uid="{A28629E2-71C1-419C-9B8C-66B6180927DD}"/>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A29F8120-76CC-4770-9CCB-77273A5EF972}"/>
    <cellStyle name="Normal 5 2 2 9 2 3" xfId="12803" xr:uid="{8BE8AEE5-A5DD-4A63-A737-38988EDE22EE}"/>
    <cellStyle name="Normal 5 2 2 9 3" xfId="6434" xr:uid="{00000000-0005-0000-0000-000031180000}"/>
    <cellStyle name="Normal 5 2 2 9 3 2" xfId="14876" xr:uid="{D56D3770-7C71-4CC1-AC40-69A7876F8D18}"/>
    <cellStyle name="Normal 5 2 2 9 4" xfId="10658" xr:uid="{F4FD5E9A-2F1A-4F34-BEBC-103D7199B21E}"/>
    <cellStyle name="Normal 5 2 3" xfId="424" xr:uid="{00000000-0005-0000-0000-000032180000}"/>
    <cellStyle name="Normal 5 2 3 10" xfId="4798" xr:uid="{00000000-0005-0000-0000-000033180000}"/>
    <cellStyle name="Normal 5 2 3 10 2" xfId="13240" xr:uid="{754D8468-8D69-497F-9BF7-CA553D5D4701}"/>
    <cellStyle name="Normal 5 2 3 11" xfId="9022" xr:uid="{BB04C3F3-E624-447C-9EDA-C12B4AAD1B6F}"/>
    <cellStyle name="Normal 5 2 3 2" xfId="425" xr:uid="{00000000-0005-0000-0000-000034180000}"/>
    <cellStyle name="Normal 5 2 3 2 10" xfId="9023" xr:uid="{A22CF06B-F98A-4C59-87F8-BFFA0E70A5C3}"/>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C3E39DF8-50FC-4F0D-8988-0CF001C0C6EA}"/>
    <cellStyle name="Normal 5 2 3 2 2 2 2 2 3" xfId="11583" xr:uid="{591ADE61-6801-4432-A6C0-6B341D57DBAA}"/>
    <cellStyle name="Normal 5 2 3 2 2 2 2 3" xfId="5214" xr:uid="{00000000-0005-0000-0000-00003A180000}"/>
    <cellStyle name="Normal 5 2 3 2 2 2 2 3 2" xfId="13656" xr:uid="{720963B0-E4DB-4847-97EE-01F051F193DB}"/>
    <cellStyle name="Normal 5 2 3 2 2 2 2 4" xfId="9438" xr:uid="{FFDA8DA7-025C-47E1-9B73-5A91AB5A7C6B}"/>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C8A925D2-31E5-49EC-BB06-FB84929987A8}"/>
    <cellStyle name="Normal 5 2 3 2 2 2 3 2 3" xfId="11996" xr:uid="{F6400B21-51CB-4D68-BF3F-EDAF1E0B7D36}"/>
    <cellStyle name="Normal 5 2 3 2 2 2 3 3" xfId="5627" xr:uid="{00000000-0005-0000-0000-00003E180000}"/>
    <cellStyle name="Normal 5 2 3 2 2 2 3 3 2" xfId="14069" xr:uid="{C0A702D4-0B60-4D00-9B48-C545308EC22C}"/>
    <cellStyle name="Normal 5 2 3 2 2 2 3 4" xfId="9851" xr:uid="{845771D5-1F56-4508-B820-7B23A0ACDE1D}"/>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FB6D604B-0E1F-4D8A-95E9-DE2E45DD0934}"/>
    <cellStyle name="Normal 5 2 3 2 2 2 4 2 3" xfId="12409" xr:uid="{56EDBF8C-5CC1-4160-916B-1141FA4BB6F1}"/>
    <cellStyle name="Normal 5 2 3 2 2 2 4 3" xfId="6040" xr:uid="{00000000-0005-0000-0000-000042180000}"/>
    <cellStyle name="Normal 5 2 3 2 2 2 4 3 2" xfId="14482" xr:uid="{ACC56597-4C9C-42C5-9B51-C8626A22A77B}"/>
    <cellStyle name="Normal 5 2 3 2 2 2 4 4" xfId="10264" xr:uid="{99426F10-6997-4B73-9E17-E7BC18D02102}"/>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3A77D6C3-2525-4C48-8E87-E4B0BCDC76A0}"/>
    <cellStyle name="Normal 5 2 3 2 2 2 5 2 3" xfId="12822" xr:uid="{F75F3782-F2A5-49B2-93BC-11862C41D62B}"/>
    <cellStyle name="Normal 5 2 3 2 2 2 5 3" xfId="6453" xr:uid="{00000000-0005-0000-0000-000046180000}"/>
    <cellStyle name="Normal 5 2 3 2 2 2 5 3 2" xfId="14895" xr:uid="{2148440E-9216-4A3E-8C07-90D79BF7B18A}"/>
    <cellStyle name="Normal 5 2 3 2 2 2 5 4" xfId="10677" xr:uid="{B06894E4-658C-4FB9-8DD1-543A2393C3A8}"/>
    <cellStyle name="Normal 5 2 3 2 2 2 6" xfId="2582" xr:uid="{00000000-0005-0000-0000-000047180000}"/>
    <cellStyle name="Normal 5 2 3 2 2 2 6 2" xfId="6866" xr:uid="{00000000-0005-0000-0000-000048180000}"/>
    <cellStyle name="Normal 5 2 3 2 2 2 6 2 2" xfId="15308" xr:uid="{6BACB4BD-0CB7-43BB-BFF4-429FB481743F}"/>
    <cellStyle name="Normal 5 2 3 2 2 2 6 3" xfId="11090" xr:uid="{55F8EF07-D4B1-42DD-A898-6783BE00EC03}"/>
    <cellStyle name="Normal 5 2 3 2 2 2 7" xfId="4801" xr:uid="{00000000-0005-0000-0000-000049180000}"/>
    <cellStyle name="Normal 5 2 3 2 2 2 7 2" xfId="13243" xr:uid="{84C1858A-EB86-44B0-B396-5874B6415406}"/>
    <cellStyle name="Normal 5 2 3 2 2 2 8" xfId="9025" xr:uid="{12F5A156-FE8E-4F7E-A5D2-37103380258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5240571E-53E4-495B-A7BE-6B6F31419DC2}"/>
    <cellStyle name="Normal 5 2 3 2 2 3 2 3" xfId="11582" xr:uid="{2AE1A388-FFA5-4A1B-96FA-B25867FDA392}"/>
    <cellStyle name="Normal 5 2 3 2 2 3 3" xfId="5213" xr:uid="{00000000-0005-0000-0000-00004D180000}"/>
    <cellStyle name="Normal 5 2 3 2 2 3 3 2" xfId="13655" xr:uid="{094C82A6-06ED-429B-B063-4A0710E29217}"/>
    <cellStyle name="Normal 5 2 3 2 2 3 4" xfId="9437" xr:uid="{333DE898-ABCC-4583-B603-1D20643278FB}"/>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4B3C0A3D-3E0D-4E9D-AA39-DDC924CD34EC}"/>
    <cellStyle name="Normal 5 2 3 2 2 4 2 3" xfId="11995" xr:uid="{7B585B37-437F-473A-9B5F-DFC592524029}"/>
    <cellStyle name="Normal 5 2 3 2 2 4 3" xfId="5626" xr:uid="{00000000-0005-0000-0000-000051180000}"/>
    <cellStyle name="Normal 5 2 3 2 2 4 3 2" xfId="14068" xr:uid="{E102E66F-6863-42A1-8D42-E274A60174F3}"/>
    <cellStyle name="Normal 5 2 3 2 2 4 4" xfId="9850" xr:uid="{EC61C0A6-8213-4212-8588-302FAD79DA38}"/>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D015DC8D-506B-44D9-8FC0-6F17F3997CB0}"/>
    <cellStyle name="Normal 5 2 3 2 2 5 2 3" xfId="12408" xr:uid="{9EAB031B-7F0E-4F04-B159-A2E925EE6C83}"/>
    <cellStyle name="Normal 5 2 3 2 2 5 3" xfId="6039" xr:uid="{00000000-0005-0000-0000-000055180000}"/>
    <cellStyle name="Normal 5 2 3 2 2 5 3 2" xfId="14481" xr:uid="{826563DA-14E3-4A65-8ABF-3E42F14F88B0}"/>
    <cellStyle name="Normal 5 2 3 2 2 5 4" xfId="10263" xr:uid="{DC00D2E8-B58C-407F-9BC5-3D49FD46638E}"/>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EA55C7F4-E381-4B50-84DE-7CB150A8288F}"/>
    <cellStyle name="Normal 5 2 3 2 2 6 2 3" xfId="12821" xr:uid="{E5C181FA-407C-48D7-BBDE-AB44EBDCF027}"/>
    <cellStyle name="Normal 5 2 3 2 2 6 3" xfId="6452" xr:uid="{00000000-0005-0000-0000-000059180000}"/>
    <cellStyle name="Normal 5 2 3 2 2 6 3 2" xfId="14894" xr:uid="{B0009E63-7277-4737-B7B0-CADC991B65FF}"/>
    <cellStyle name="Normal 5 2 3 2 2 6 4" xfId="10676" xr:uid="{61DC0118-9E88-471C-9D99-DE25E76B696A}"/>
    <cellStyle name="Normal 5 2 3 2 2 7" xfId="2581" xr:uid="{00000000-0005-0000-0000-00005A180000}"/>
    <cellStyle name="Normal 5 2 3 2 2 7 2" xfId="6865" xr:uid="{00000000-0005-0000-0000-00005B180000}"/>
    <cellStyle name="Normal 5 2 3 2 2 7 2 2" xfId="15307" xr:uid="{802926A6-FC3A-4198-9059-8F36A3315AB2}"/>
    <cellStyle name="Normal 5 2 3 2 2 7 3" xfId="11089" xr:uid="{EE0A3D01-8289-4485-887C-A7E12D44C39E}"/>
    <cellStyle name="Normal 5 2 3 2 2 8" xfId="4800" xr:uid="{00000000-0005-0000-0000-00005C180000}"/>
    <cellStyle name="Normal 5 2 3 2 2 8 2" xfId="13242" xr:uid="{E23BBF7C-5F79-4DC5-A723-F795C5F59080}"/>
    <cellStyle name="Normal 5 2 3 2 2 9" xfId="9024" xr:uid="{87F4AE38-88D1-4321-94D3-A4316AC97D39}"/>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FADB6A37-DD96-4D9C-8A5B-53A9B59595CF}"/>
    <cellStyle name="Normal 5 2 3 2 3 2 2 3" xfId="11584" xr:uid="{9ACEC448-FB21-4CF9-BC67-8CD18C79AAC8}"/>
    <cellStyle name="Normal 5 2 3 2 3 2 3" xfId="5215" xr:uid="{00000000-0005-0000-0000-000061180000}"/>
    <cellStyle name="Normal 5 2 3 2 3 2 3 2" xfId="13657" xr:uid="{2EAC7AC0-AD89-48B4-90BF-A131CF209054}"/>
    <cellStyle name="Normal 5 2 3 2 3 2 4" xfId="9439" xr:uid="{EBF071ED-005B-49E8-9830-A84F16A67B6F}"/>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FE419E69-0265-4B5F-9D6C-E8F9C505B031}"/>
    <cellStyle name="Normal 5 2 3 2 3 3 2 3" xfId="11997" xr:uid="{87CDBEAD-BA0B-4C38-B163-B42AD077E9A5}"/>
    <cellStyle name="Normal 5 2 3 2 3 3 3" xfId="5628" xr:uid="{00000000-0005-0000-0000-000065180000}"/>
    <cellStyle name="Normal 5 2 3 2 3 3 3 2" xfId="14070" xr:uid="{57F6F0F1-E5BB-426C-A586-21A0CB804445}"/>
    <cellStyle name="Normal 5 2 3 2 3 3 4" xfId="9852" xr:uid="{DF399217-5B2B-44E8-AB94-74A4BA7B8001}"/>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030A22B9-835E-4107-96D2-BBF9024D2D6C}"/>
    <cellStyle name="Normal 5 2 3 2 3 4 2 3" xfId="12410" xr:uid="{0752A105-1039-4CBB-A70F-49BA1B0BADFD}"/>
    <cellStyle name="Normal 5 2 3 2 3 4 3" xfId="6041" xr:uid="{00000000-0005-0000-0000-000069180000}"/>
    <cellStyle name="Normal 5 2 3 2 3 4 3 2" xfId="14483" xr:uid="{21E7E2F8-E02B-4158-AE5A-11334EDC5726}"/>
    <cellStyle name="Normal 5 2 3 2 3 4 4" xfId="10265" xr:uid="{5B119D2B-CD14-42E8-9830-244F54252C5C}"/>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F9222969-756B-4E55-AD5C-CF6EB4E5E891}"/>
    <cellStyle name="Normal 5 2 3 2 3 5 2 3" xfId="12823" xr:uid="{5B1D17B0-425E-4447-9FCA-F9CD12245019}"/>
    <cellStyle name="Normal 5 2 3 2 3 5 3" xfId="6454" xr:uid="{00000000-0005-0000-0000-00006D180000}"/>
    <cellStyle name="Normal 5 2 3 2 3 5 3 2" xfId="14896" xr:uid="{DD29D0CD-AE76-4784-97A5-61AC1A1F4CCF}"/>
    <cellStyle name="Normal 5 2 3 2 3 5 4" xfId="10678" xr:uid="{C0C68A63-4E7A-4704-9E5A-3EAA842965F4}"/>
    <cellStyle name="Normal 5 2 3 2 3 6" xfId="2583" xr:uid="{00000000-0005-0000-0000-00006E180000}"/>
    <cellStyle name="Normal 5 2 3 2 3 6 2" xfId="6867" xr:uid="{00000000-0005-0000-0000-00006F180000}"/>
    <cellStyle name="Normal 5 2 3 2 3 6 2 2" xfId="15309" xr:uid="{C26C4CB9-FDE8-4208-972A-EA9450C81116}"/>
    <cellStyle name="Normal 5 2 3 2 3 6 3" xfId="11091" xr:uid="{55B5DF78-9860-43FE-96EE-799A2FFFEBDB}"/>
    <cellStyle name="Normal 5 2 3 2 3 7" xfId="4802" xr:uid="{00000000-0005-0000-0000-000070180000}"/>
    <cellStyle name="Normal 5 2 3 2 3 7 2" xfId="13244" xr:uid="{0383BEF7-BA8A-4282-8CFB-30455F4EE422}"/>
    <cellStyle name="Normal 5 2 3 2 3 8" xfId="9026" xr:uid="{848A2ECF-2A84-43A4-9B07-F6693850C602}"/>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17BE9FFC-C5E2-4FD8-9DC7-EB8217C34DA3}"/>
    <cellStyle name="Normal 5 2 3 2 4 2 3" xfId="11581" xr:uid="{71CD8C87-8131-4C09-81F5-9F17081498E9}"/>
    <cellStyle name="Normal 5 2 3 2 4 3" xfId="5212" xr:uid="{00000000-0005-0000-0000-000074180000}"/>
    <cellStyle name="Normal 5 2 3 2 4 3 2" xfId="13654" xr:uid="{10DFBD2C-2B63-4E44-B4D1-4E98D7BFA803}"/>
    <cellStyle name="Normal 5 2 3 2 4 4" xfId="9436" xr:uid="{D0ACB5D0-5BA5-4487-A6AC-2BF0D1B97797}"/>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811F858E-F749-4951-95C2-4B4DAEEB39EB}"/>
    <cellStyle name="Normal 5 2 3 2 5 2 3" xfId="11994" xr:uid="{BB2A8825-CB73-471C-A13D-AE2D629FFD3A}"/>
    <cellStyle name="Normal 5 2 3 2 5 3" xfId="5625" xr:uid="{00000000-0005-0000-0000-000078180000}"/>
    <cellStyle name="Normal 5 2 3 2 5 3 2" xfId="14067" xr:uid="{EECB2AEE-5BC7-46F7-98AA-552CFA955A41}"/>
    <cellStyle name="Normal 5 2 3 2 5 4" xfId="9849" xr:uid="{CA22B599-3A76-40D5-AEDD-B16A245FB63B}"/>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206A417E-C633-4556-945E-CE55500AE1B3}"/>
    <cellStyle name="Normal 5 2 3 2 6 2 3" xfId="12407" xr:uid="{F592A0C4-7163-444B-9616-BF31D86B4C2E}"/>
    <cellStyle name="Normal 5 2 3 2 6 3" xfId="6038" xr:uid="{00000000-0005-0000-0000-00007C180000}"/>
    <cellStyle name="Normal 5 2 3 2 6 3 2" xfId="14480" xr:uid="{D7E4701E-A6C7-4DDA-B557-F9994228AA87}"/>
    <cellStyle name="Normal 5 2 3 2 6 4" xfId="10262" xr:uid="{C04A129B-5085-47E8-B4C2-336B2CD6CF65}"/>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96917B77-25F9-4B2B-8C7B-F9E0674AA061}"/>
    <cellStyle name="Normal 5 2 3 2 7 2 3" xfId="12820" xr:uid="{44DBC4AB-91A1-4DE9-9292-B4F0B778C751}"/>
    <cellStyle name="Normal 5 2 3 2 7 3" xfId="6451" xr:uid="{00000000-0005-0000-0000-000080180000}"/>
    <cellStyle name="Normal 5 2 3 2 7 3 2" xfId="14893" xr:uid="{D715C8D5-29E2-4C7B-9495-125578D7C24D}"/>
    <cellStyle name="Normal 5 2 3 2 7 4" xfId="10675" xr:uid="{E22D9C11-37FD-44CB-8607-F9A6653E7E27}"/>
    <cellStyle name="Normal 5 2 3 2 8" xfId="2580" xr:uid="{00000000-0005-0000-0000-000081180000}"/>
    <cellStyle name="Normal 5 2 3 2 8 2" xfId="6864" xr:uid="{00000000-0005-0000-0000-000082180000}"/>
    <cellStyle name="Normal 5 2 3 2 8 2 2" xfId="15306" xr:uid="{F132BFC0-DF6A-42DE-AB34-798EAD4F3371}"/>
    <cellStyle name="Normal 5 2 3 2 8 3" xfId="11088" xr:uid="{D4305424-DF05-46EC-B291-AA83FB8950D7}"/>
    <cellStyle name="Normal 5 2 3 2 9" xfId="4799" xr:uid="{00000000-0005-0000-0000-000083180000}"/>
    <cellStyle name="Normal 5 2 3 2 9 2" xfId="13241" xr:uid="{40DFE795-FE27-4495-B892-E9319BFA282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290A36BD-C286-498C-B181-EC189E3D5CF0}"/>
    <cellStyle name="Normal 5 2 3 3 2 2 2 3" xfId="11586" xr:uid="{707A5159-7382-4891-8D40-DBF3369391CE}"/>
    <cellStyle name="Normal 5 2 3 3 2 2 3" xfId="5217" xr:uid="{00000000-0005-0000-0000-000089180000}"/>
    <cellStyle name="Normal 5 2 3 3 2 2 3 2" xfId="13659" xr:uid="{4375DAEE-196F-428C-8E96-AC73CCCF01E1}"/>
    <cellStyle name="Normal 5 2 3 3 2 2 4" xfId="9441" xr:uid="{BE45AE4A-6B6C-47E4-AF91-BC7EBCAD1108}"/>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E1C55642-6590-43C8-8A07-A848AE735522}"/>
    <cellStyle name="Normal 5 2 3 3 2 3 2 3" xfId="11999" xr:uid="{1A0CFE87-0F14-4CFA-B033-63B00F3E8DD6}"/>
    <cellStyle name="Normal 5 2 3 3 2 3 3" xfId="5630" xr:uid="{00000000-0005-0000-0000-00008D180000}"/>
    <cellStyle name="Normal 5 2 3 3 2 3 3 2" xfId="14072" xr:uid="{8BF5AF77-C300-45A3-BC08-68BD0C692A24}"/>
    <cellStyle name="Normal 5 2 3 3 2 3 4" xfId="9854" xr:uid="{5C356D3A-D54B-42D8-BB4D-C9A949F1988A}"/>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35BCDAC1-1C92-4398-81EF-2EEBB856F8A4}"/>
    <cellStyle name="Normal 5 2 3 3 2 4 2 3" xfId="12412" xr:uid="{C0DD91F5-0494-45D0-B26E-4050AA07D550}"/>
    <cellStyle name="Normal 5 2 3 3 2 4 3" xfId="6043" xr:uid="{00000000-0005-0000-0000-000091180000}"/>
    <cellStyle name="Normal 5 2 3 3 2 4 3 2" xfId="14485" xr:uid="{E27ECC7E-5216-4E62-B20E-6F7733A268A9}"/>
    <cellStyle name="Normal 5 2 3 3 2 4 4" xfId="10267" xr:uid="{998B4F13-70D8-4E5C-841B-8F2C4552E63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D437A0F9-FFB0-44DA-BDC6-3D68F473CACF}"/>
    <cellStyle name="Normal 5 2 3 3 2 5 2 3" xfId="12825" xr:uid="{D3906217-7AA0-4922-8F56-71689377C86A}"/>
    <cellStyle name="Normal 5 2 3 3 2 5 3" xfId="6456" xr:uid="{00000000-0005-0000-0000-000095180000}"/>
    <cellStyle name="Normal 5 2 3 3 2 5 3 2" xfId="14898" xr:uid="{B2EC52DB-2F04-45AA-BC10-D2AA49BD1FC1}"/>
    <cellStyle name="Normal 5 2 3 3 2 5 4" xfId="10680" xr:uid="{6A124E92-79BF-4F2C-9462-2D511608F2BD}"/>
    <cellStyle name="Normal 5 2 3 3 2 6" xfId="2585" xr:uid="{00000000-0005-0000-0000-000096180000}"/>
    <cellStyle name="Normal 5 2 3 3 2 6 2" xfId="6869" xr:uid="{00000000-0005-0000-0000-000097180000}"/>
    <cellStyle name="Normal 5 2 3 3 2 6 2 2" xfId="15311" xr:uid="{A26C6D48-9E89-4724-8907-BB8D06AD7139}"/>
    <cellStyle name="Normal 5 2 3 3 2 6 3" xfId="11093" xr:uid="{ECAE0FCD-E06B-4519-8A4C-FC0DE3DF29E3}"/>
    <cellStyle name="Normal 5 2 3 3 2 7" xfId="4804" xr:uid="{00000000-0005-0000-0000-000098180000}"/>
    <cellStyle name="Normal 5 2 3 3 2 7 2" xfId="13246" xr:uid="{CF6E53C9-B7D7-4B72-B680-32EC0E8032E9}"/>
    <cellStyle name="Normal 5 2 3 3 2 8" xfId="9028" xr:uid="{E1771F4D-04B9-46E2-BF2D-7135F0578116}"/>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03E6F021-A6A5-4557-AC99-0C499C66D5AF}"/>
    <cellStyle name="Normal 5 2 3 3 3 2 3" xfId="11585" xr:uid="{455E7824-0C7D-4676-923E-3424DA6E23AD}"/>
    <cellStyle name="Normal 5 2 3 3 3 3" xfId="5216" xr:uid="{00000000-0005-0000-0000-00009C180000}"/>
    <cellStyle name="Normal 5 2 3 3 3 3 2" xfId="13658" xr:uid="{69A1980F-B56F-4608-B2D3-3617BE0E2685}"/>
    <cellStyle name="Normal 5 2 3 3 3 4" xfId="9440" xr:uid="{F723B27D-6DB2-4828-B51C-BEBE289B91BB}"/>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43A781D7-40FA-4ACD-B3AB-5ED046C2E7D9}"/>
    <cellStyle name="Normal 5 2 3 3 4 2 3" xfId="11998" xr:uid="{642E88A9-3B6B-4494-B229-053692CBAA84}"/>
    <cellStyle name="Normal 5 2 3 3 4 3" xfId="5629" xr:uid="{00000000-0005-0000-0000-0000A0180000}"/>
    <cellStyle name="Normal 5 2 3 3 4 3 2" xfId="14071" xr:uid="{2BA7457C-3A0E-4CCC-A9D1-7DF135140753}"/>
    <cellStyle name="Normal 5 2 3 3 4 4" xfId="9853" xr:uid="{20EFC547-6391-41A2-8DCF-A1C78AEED30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0166AF38-EFB6-48F5-A97C-3B6C4D6841F7}"/>
    <cellStyle name="Normal 5 2 3 3 5 2 3" xfId="12411" xr:uid="{A466AEAC-6C4B-4215-BF65-80C9CE12DA2C}"/>
    <cellStyle name="Normal 5 2 3 3 5 3" xfId="6042" xr:uid="{00000000-0005-0000-0000-0000A4180000}"/>
    <cellStyle name="Normal 5 2 3 3 5 3 2" xfId="14484" xr:uid="{107375BB-5E22-450E-820A-40698BD4DBED}"/>
    <cellStyle name="Normal 5 2 3 3 5 4" xfId="10266" xr:uid="{B4C388B5-C264-4E36-912B-7AAE9101AD5F}"/>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042E1A44-3D99-4816-8DA7-352F75272F9E}"/>
    <cellStyle name="Normal 5 2 3 3 6 2 3" xfId="12824" xr:uid="{1A6505AB-0C51-4280-BC69-AF8BDA113ECB}"/>
    <cellStyle name="Normal 5 2 3 3 6 3" xfId="6455" xr:uid="{00000000-0005-0000-0000-0000A8180000}"/>
    <cellStyle name="Normal 5 2 3 3 6 3 2" xfId="14897" xr:uid="{9A69840D-E8DE-4A9E-BABD-77FE2471EDC1}"/>
    <cellStyle name="Normal 5 2 3 3 6 4" xfId="10679" xr:uid="{D69BA0C3-E74D-46F5-9120-F1E65C05F48C}"/>
    <cellStyle name="Normal 5 2 3 3 7" xfId="2584" xr:uid="{00000000-0005-0000-0000-0000A9180000}"/>
    <cellStyle name="Normal 5 2 3 3 7 2" xfId="6868" xr:uid="{00000000-0005-0000-0000-0000AA180000}"/>
    <cellStyle name="Normal 5 2 3 3 7 2 2" xfId="15310" xr:uid="{F837D1E2-CFDB-48BE-9156-2765BB346198}"/>
    <cellStyle name="Normal 5 2 3 3 7 3" xfId="11092" xr:uid="{9C2D1EC4-CFA8-4895-8F68-34510515E4E4}"/>
    <cellStyle name="Normal 5 2 3 3 8" xfId="4803" xr:uid="{00000000-0005-0000-0000-0000AB180000}"/>
    <cellStyle name="Normal 5 2 3 3 8 2" xfId="13245" xr:uid="{E62818D8-5493-4A2B-A695-7D4E7C14EA8E}"/>
    <cellStyle name="Normal 5 2 3 3 9" xfId="9027" xr:uid="{C514C0BC-9C3A-4178-8197-C12CDDD5D47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16E86977-F37B-452B-9FA5-9B9F0A2ED9D0}"/>
    <cellStyle name="Normal 5 2 3 4 2 2 3" xfId="11587" xr:uid="{EDE7DCFB-64DC-457E-B2FD-C28C3D625D2F}"/>
    <cellStyle name="Normal 5 2 3 4 2 3" xfId="5218" xr:uid="{00000000-0005-0000-0000-0000B0180000}"/>
    <cellStyle name="Normal 5 2 3 4 2 3 2" xfId="13660" xr:uid="{C9D579B4-AD4C-4BE7-81C7-502E8E58FA08}"/>
    <cellStyle name="Normal 5 2 3 4 2 4" xfId="9442" xr:uid="{2397B333-B764-4A63-BDE9-DF78819A62C2}"/>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35D00DB9-5D9C-42C8-ABCF-767DD4576AB2}"/>
    <cellStyle name="Normal 5 2 3 4 3 2 3" xfId="12000" xr:uid="{D5EAE073-7FDF-4B1F-A97A-D473D008E23A}"/>
    <cellStyle name="Normal 5 2 3 4 3 3" xfId="5631" xr:uid="{00000000-0005-0000-0000-0000B4180000}"/>
    <cellStyle name="Normal 5 2 3 4 3 3 2" xfId="14073" xr:uid="{F50AC064-BB61-4600-89D9-B9DCB89CEF07}"/>
    <cellStyle name="Normal 5 2 3 4 3 4" xfId="9855" xr:uid="{3C62BFE5-4985-42C2-BD7D-39C3238F6F1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FFE59682-B9BD-499D-9593-6650C32F2677}"/>
    <cellStyle name="Normal 5 2 3 4 4 2 3" xfId="12413" xr:uid="{238374CE-1BA1-4095-B9D7-EEA9AFE9BC94}"/>
    <cellStyle name="Normal 5 2 3 4 4 3" xfId="6044" xr:uid="{00000000-0005-0000-0000-0000B8180000}"/>
    <cellStyle name="Normal 5 2 3 4 4 3 2" xfId="14486" xr:uid="{A0A39800-018A-4600-8A46-C690A98A396A}"/>
    <cellStyle name="Normal 5 2 3 4 4 4" xfId="10268" xr:uid="{D83EF284-F931-49D5-9C67-8C1F8AD6B07C}"/>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49364293-8F64-418E-96BD-000DA091D9AB}"/>
    <cellStyle name="Normal 5 2 3 4 5 2 3" xfId="12826" xr:uid="{902BE0DF-77BC-4D95-8933-E1B794AE8821}"/>
    <cellStyle name="Normal 5 2 3 4 5 3" xfId="6457" xr:uid="{00000000-0005-0000-0000-0000BC180000}"/>
    <cellStyle name="Normal 5 2 3 4 5 3 2" xfId="14899" xr:uid="{CA66BA1A-7986-43FD-8C91-57111E23A282}"/>
    <cellStyle name="Normal 5 2 3 4 5 4" xfId="10681" xr:uid="{4A42A528-2BB8-486D-A9CC-8172610A957A}"/>
    <cellStyle name="Normal 5 2 3 4 6" xfId="2586" xr:uid="{00000000-0005-0000-0000-0000BD180000}"/>
    <cellStyle name="Normal 5 2 3 4 6 2" xfId="6870" xr:uid="{00000000-0005-0000-0000-0000BE180000}"/>
    <cellStyle name="Normal 5 2 3 4 6 2 2" xfId="15312" xr:uid="{80185A41-353D-437F-A415-9A5D5C0D80F3}"/>
    <cellStyle name="Normal 5 2 3 4 6 3" xfId="11094" xr:uid="{0F9B6B74-98CB-433F-9E35-21D3521B23D2}"/>
    <cellStyle name="Normal 5 2 3 4 7" xfId="4805" xr:uid="{00000000-0005-0000-0000-0000BF180000}"/>
    <cellStyle name="Normal 5 2 3 4 7 2" xfId="13247" xr:uid="{3BA214AA-39AD-4571-8F29-7454E668D5B2}"/>
    <cellStyle name="Normal 5 2 3 4 8" xfId="9029" xr:uid="{6A8D27D4-92D2-4AB1-9F50-465A95276909}"/>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E1803D74-F218-47BD-80F5-76272E1B5630}"/>
    <cellStyle name="Normal 5 2 3 5 2 3" xfId="11580" xr:uid="{6011AC83-4516-4DC2-8CCC-B6DE8356A5B1}"/>
    <cellStyle name="Normal 5 2 3 5 3" xfId="5211" xr:uid="{00000000-0005-0000-0000-0000C3180000}"/>
    <cellStyle name="Normal 5 2 3 5 3 2" xfId="13653" xr:uid="{7BEBF7FE-4B0D-47D2-AE6D-8D1CC868EA49}"/>
    <cellStyle name="Normal 5 2 3 5 4" xfId="9435" xr:uid="{FC61A53C-8ABF-4AED-B502-ECCDDFB9519E}"/>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8B0915E6-AF5B-46F5-A05F-4E9602B3EB12}"/>
    <cellStyle name="Normal 5 2 3 6 2 3" xfId="11993" xr:uid="{802C4996-03F3-42F2-93D3-B26586C0201D}"/>
    <cellStyle name="Normal 5 2 3 6 3" xfId="5624" xr:uid="{00000000-0005-0000-0000-0000C7180000}"/>
    <cellStyle name="Normal 5 2 3 6 3 2" xfId="14066" xr:uid="{4FCFA02A-693A-4205-8367-BC7410C50B13}"/>
    <cellStyle name="Normal 5 2 3 6 4" xfId="9848" xr:uid="{9B820142-F026-4981-B2D7-EB15C1CC2AE2}"/>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E8728523-28A7-4448-8E16-6B039580EAA8}"/>
    <cellStyle name="Normal 5 2 3 7 2 3" xfId="12406" xr:uid="{8131B0C3-AD90-43DD-9D6F-81248D7B6B8B}"/>
    <cellStyle name="Normal 5 2 3 7 3" xfId="6037" xr:uid="{00000000-0005-0000-0000-0000CB180000}"/>
    <cellStyle name="Normal 5 2 3 7 3 2" xfId="14479" xr:uid="{5CEB61F5-984A-46DD-B4C2-D550E0806F4B}"/>
    <cellStyle name="Normal 5 2 3 7 4" xfId="10261" xr:uid="{AA428CA4-192C-41BF-BBD3-D3C98CA33F2C}"/>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0B9FEDA5-6BCF-468F-8C01-804B5C45D48A}"/>
    <cellStyle name="Normal 5 2 3 8 2 3" xfId="12819" xr:uid="{5A5DE250-0E53-45D1-993D-EF61BD61D6C0}"/>
    <cellStyle name="Normal 5 2 3 8 3" xfId="6450" xr:uid="{00000000-0005-0000-0000-0000CF180000}"/>
    <cellStyle name="Normal 5 2 3 8 3 2" xfId="14892" xr:uid="{B86CCDF0-7140-4E9B-AC2D-F9F3342D7A03}"/>
    <cellStyle name="Normal 5 2 3 8 4" xfId="10674" xr:uid="{028B157E-0C0E-4A35-8966-3BB11834EB57}"/>
    <cellStyle name="Normal 5 2 3 9" xfId="2579" xr:uid="{00000000-0005-0000-0000-0000D0180000}"/>
    <cellStyle name="Normal 5 2 3 9 2" xfId="6863" xr:uid="{00000000-0005-0000-0000-0000D1180000}"/>
    <cellStyle name="Normal 5 2 3 9 2 2" xfId="15305" xr:uid="{23A756E6-BC19-4574-B48C-2B6B26A0AAFB}"/>
    <cellStyle name="Normal 5 2 3 9 3" xfId="11087" xr:uid="{F00395DB-0EAF-42E3-AF72-69EC4BA85926}"/>
    <cellStyle name="Normal 5 2 4" xfId="432" xr:uid="{00000000-0005-0000-0000-0000D2180000}"/>
    <cellStyle name="Normal 5 2 4 10" xfId="9030" xr:uid="{411F0AE7-5750-4630-9908-B58F9B5B255E}"/>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F9D3C928-DDFD-40D7-8420-FFB2823CCE49}"/>
    <cellStyle name="Normal 5 2 4 2 2 2 2 3" xfId="11590" xr:uid="{8F958D44-2E27-4E0C-94BC-F531D1B3248F}"/>
    <cellStyle name="Normal 5 2 4 2 2 2 3" xfId="5221" xr:uid="{00000000-0005-0000-0000-0000D8180000}"/>
    <cellStyle name="Normal 5 2 4 2 2 2 3 2" xfId="13663" xr:uid="{462484CC-C0E5-46A9-B8A7-2A842C2B18B0}"/>
    <cellStyle name="Normal 5 2 4 2 2 2 4" xfId="9445" xr:uid="{B77F4268-A25B-49DF-8AED-83706D7128EF}"/>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85E1DCD9-EECA-4CD3-AED7-5DD57B01DC63}"/>
    <cellStyle name="Normal 5 2 4 2 2 3 2 3" xfId="12003" xr:uid="{AADEA3F5-7094-4B9B-85F9-FEBFB58CC7DE}"/>
    <cellStyle name="Normal 5 2 4 2 2 3 3" xfId="5634" xr:uid="{00000000-0005-0000-0000-0000DC180000}"/>
    <cellStyle name="Normal 5 2 4 2 2 3 3 2" xfId="14076" xr:uid="{9C7C0863-0A73-407C-9519-04ABB0BE0D3B}"/>
    <cellStyle name="Normal 5 2 4 2 2 3 4" xfId="9858" xr:uid="{580FDFA0-FD12-4958-924B-61081E2EF417}"/>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7725AA16-4D31-40D1-A3E1-B81DBADADE80}"/>
    <cellStyle name="Normal 5 2 4 2 2 4 2 3" xfId="12416" xr:uid="{772DAC00-CF36-4576-AE01-427FE6B29680}"/>
    <cellStyle name="Normal 5 2 4 2 2 4 3" xfId="6047" xr:uid="{00000000-0005-0000-0000-0000E0180000}"/>
    <cellStyle name="Normal 5 2 4 2 2 4 3 2" xfId="14489" xr:uid="{38896285-B973-46F9-B0D3-C40CDB7EC159}"/>
    <cellStyle name="Normal 5 2 4 2 2 4 4" xfId="10271" xr:uid="{216C3377-89E7-483A-B574-F1CE5DA4EE22}"/>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321C4629-6886-452D-9FCE-318F993691AF}"/>
    <cellStyle name="Normal 5 2 4 2 2 5 2 3" xfId="12829" xr:uid="{A48D5394-206D-44F3-844C-FB319F06624B}"/>
    <cellStyle name="Normal 5 2 4 2 2 5 3" xfId="6460" xr:uid="{00000000-0005-0000-0000-0000E4180000}"/>
    <cellStyle name="Normal 5 2 4 2 2 5 3 2" xfId="14902" xr:uid="{3B772FAC-CE0D-4345-BD5D-68215456EB38}"/>
    <cellStyle name="Normal 5 2 4 2 2 5 4" xfId="10684" xr:uid="{8F3BD36C-92D7-4F89-B063-3FA9FC83EFE3}"/>
    <cellStyle name="Normal 5 2 4 2 2 6" xfId="2589" xr:uid="{00000000-0005-0000-0000-0000E5180000}"/>
    <cellStyle name="Normal 5 2 4 2 2 6 2" xfId="6873" xr:uid="{00000000-0005-0000-0000-0000E6180000}"/>
    <cellStyle name="Normal 5 2 4 2 2 6 2 2" xfId="15315" xr:uid="{04B5A9EB-DC1E-4214-B0AE-3D953F383611}"/>
    <cellStyle name="Normal 5 2 4 2 2 6 3" xfId="11097" xr:uid="{BAF81A70-A045-4814-8BC5-C1A892DC17FA}"/>
    <cellStyle name="Normal 5 2 4 2 2 7" xfId="4808" xr:uid="{00000000-0005-0000-0000-0000E7180000}"/>
    <cellStyle name="Normal 5 2 4 2 2 7 2" xfId="13250" xr:uid="{97818BAA-7130-4157-90B9-A110BE1C6063}"/>
    <cellStyle name="Normal 5 2 4 2 2 8" xfId="9032" xr:uid="{3555183F-1695-4E88-ADEB-E58F1449E007}"/>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DF0C0429-5994-4D4B-A7EC-8BFC854E9077}"/>
    <cellStyle name="Normal 5 2 4 2 3 2 3" xfId="11589" xr:uid="{0FB9E80A-BDB2-41F5-8356-46D1C011E30E}"/>
    <cellStyle name="Normal 5 2 4 2 3 3" xfId="5220" xr:uid="{00000000-0005-0000-0000-0000EB180000}"/>
    <cellStyle name="Normal 5 2 4 2 3 3 2" xfId="13662" xr:uid="{71FDA537-5EA0-4A04-A5DC-439BC2F2327F}"/>
    <cellStyle name="Normal 5 2 4 2 3 4" xfId="9444" xr:uid="{035BADBD-A8E5-4214-83CD-3CD13567FC5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9B9474D6-6FA1-43C2-84A8-A25C46981870}"/>
    <cellStyle name="Normal 5 2 4 2 4 2 3" xfId="12002" xr:uid="{8E7509C6-7A70-4D36-A0B5-87BF1E534777}"/>
    <cellStyle name="Normal 5 2 4 2 4 3" xfId="5633" xr:uid="{00000000-0005-0000-0000-0000EF180000}"/>
    <cellStyle name="Normal 5 2 4 2 4 3 2" xfId="14075" xr:uid="{845F5DCF-725F-4ED8-A4F5-3623E11861B8}"/>
    <cellStyle name="Normal 5 2 4 2 4 4" xfId="9857" xr:uid="{8C48776C-F26A-4909-A8DC-D27359DBF04B}"/>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E1EE67FD-9C61-4617-B049-E399B6DC7FEA}"/>
    <cellStyle name="Normal 5 2 4 2 5 2 3" xfId="12415" xr:uid="{7FD0F655-0349-43F0-B5A0-F0E3E69E2277}"/>
    <cellStyle name="Normal 5 2 4 2 5 3" xfId="6046" xr:uid="{00000000-0005-0000-0000-0000F3180000}"/>
    <cellStyle name="Normal 5 2 4 2 5 3 2" xfId="14488" xr:uid="{6F771EAD-94E3-4E5A-ACF1-5E63FB957957}"/>
    <cellStyle name="Normal 5 2 4 2 5 4" xfId="10270" xr:uid="{562B31C7-E7D1-496D-A26B-5762DF2EF289}"/>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8A00EBAD-5A67-427C-8AA3-52302660094D}"/>
    <cellStyle name="Normal 5 2 4 2 6 2 3" xfId="12828" xr:uid="{C6181E9F-E571-4016-8ED2-5D4101A2AE51}"/>
    <cellStyle name="Normal 5 2 4 2 6 3" xfId="6459" xr:uid="{00000000-0005-0000-0000-0000F7180000}"/>
    <cellStyle name="Normal 5 2 4 2 6 3 2" xfId="14901" xr:uid="{9C7E2C1E-D205-4767-9228-ACB1AF1E357A}"/>
    <cellStyle name="Normal 5 2 4 2 6 4" xfId="10683" xr:uid="{BCA8B1C5-4708-48EE-BC3C-B455BA1CAF71}"/>
    <cellStyle name="Normal 5 2 4 2 7" xfId="2588" xr:uid="{00000000-0005-0000-0000-0000F8180000}"/>
    <cellStyle name="Normal 5 2 4 2 7 2" xfId="6872" xr:uid="{00000000-0005-0000-0000-0000F9180000}"/>
    <cellStyle name="Normal 5 2 4 2 7 2 2" xfId="15314" xr:uid="{22A76488-B4FF-4C9B-A4A2-71CE217FD9BD}"/>
    <cellStyle name="Normal 5 2 4 2 7 3" xfId="11096" xr:uid="{EDE37FBB-CFBD-4327-B555-9989FB415553}"/>
    <cellStyle name="Normal 5 2 4 2 8" xfId="4807" xr:uid="{00000000-0005-0000-0000-0000FA180000}"/>
    <cellStyle name="Normal 5 2 4 2 8 2" xfId="13249" xr:uid="{B39B2622-598E-409C-BFA6-793A1E964882}"/>
    <cellStyle name="Normal 5 2 4 2 9" xfId="9031" xr:uid="{06169212-6087-42B5-8402-660A5F38BCE8}"/>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026B5FC-B040-46C5-ADD4-5DEF70450917}"/>
    <cellStyle name="Normal 5 2 4 3 2 2 3" xfId="11591" xr:uid="{FC336B13-7AF1-4894-9D21-E5B1FF196F71}"/>
    <cellStyle name="Normal 5 2 4 3 2 3" xfId="5222" xr:uid="{00000000-0005-0000-0000-0000FF180000}"/>
    <cellStyle name="Normal 5 2 4 3 2 3 2" xfId="13664" xr:uid="{3E9EA639-B2D1-4E61-AB18-40DDC4BEF935}"/>
    <cellStyle name="Normal 5 2 4 3 2 4" xfId="9446" xr:uid="{F29A5B2A-6B74-44C0-A169-C4843B2DF663}"/>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BCC5A258-1A31-4DF0-854B-43551892A11C}"/>
    <cellStyle name="Normal 5 2 4 3 3 2 3" xfId="12004" xr:uid="{4F0C5ACE-BEA5-4D7D-93D5-3294A0CE38A5}"/>
    <cellStyle name="Normal 5 2 4 3 3 3" xfId="5635" xr:uid="{00000000-0005-0000-0000-000003190000}"/>
    <cellStyle name="Normal 5 2 4 3 3 3 2" xfId="14077" xr:uid="{0DDCF60C-CB1B-4AB2-9ED1-B90A4C6CD6E9}"/>
    <cellStyle name="Normal 5 2 4 3 3 4" xfId="9859" xr:uid="{EAD2CEA8-F160-45D3-9C3F-736E90297F21}"/>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D39F45CC-1267-43F1-8C3E-11B9A9F5BE14}"/>
    <cellStyle name="Normal 5 2 4 3 4 2 3" xfId="12417" xr:uid="{EEC1B924-FA19-4863-8A1B-B6687CFB3D2D}"/>
    <cellStyle name="Normal 5 2 4 3 4 3" xfId="6048" xr:uid="{00000000-0005-0000-0000-000007190000}"/>
    <cellStyle name="Normal 5 2 4 3 4 3 2" xfId="14490" xr:uid="{58242D04-9499-4A4E-B4BF-333E8CE32BC1}"/>
    <cellStyle name="Normal 5 2 4 3 4 4" xfId="10272" xr:uid="{3CE1694C-7910-41A1-B238-A092BBC2F83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58BA95B8-0D2A-4107-9D5E-F58C74D49DF4}"/>
    <cellStyle name="Normal 5 2 4 3 5 2 3" xfId="12830" xr:uid="{4ACB26CD-C749-4448-BE91-070CFABA74C7}"/>
    <cellStyle name="Normal 5 2 4 3 5 3" xfId="6461" xr:uid="{00000000-0005-0000-0000-00000B190000}"/>
    <cellStyle name="Normal 5 2 4 3 5 3 2" xfId="14903" xr:uid="{67974ECA-3CF3-465E-9B8D-11ED7D4E428E}"/>
    <cellStyle name="Normal 5 2 4 3 5 4" xfId="10685" xr:uid="{D12402C4-95BE-4F91-8AF3-5E85D1DD6663}"/>
    <cellStyle name="Normal 5 2 4 3 6" xfId="2590" xr:uid="{00000000-0005-0000-0000-00000C190000}"/>
    <cellStyle name="Normal 5 2 4 3 6 2" xfId="6874" xr:uid="{00000000-0005-0000-0000-00000D190000}"/>
    <cellStyle name="Normal 5 2 4 3 6 2 2" xfId="15316" xr:uid="{C1BF59D4-514A-489B-BC4E-7C513592BD7C}"/>
    <cellStyle name="Normal 5 2 4 3 6 3" xfId="11098" xr:uid="{385AAF0F-0BC3-4B2B-928A-7D7F8063B33A}"/>
    <cellStyle name="Normal 5 2 4 3 7" xfId="4809" xr:uid="{00000000-0005-0000-0000-00000E190000}"/>
    <cellStyle name="Normal 5 2 4 3 7 2" xfId="13251" xr:uid="{7278866E-FDFE-4A62-95B8-16605BDA4964}"/>
    <cellStyle name="Normal 5 2 4 3 8" xfId="9033" xr:uid="{3D7270EB-26EE-4B38-BE20-ECBC8ACDF81E}"/>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F733402B-DFE7-4F1A-923E-9171BD7C21D0}"/>
    <cellStyle name="Normal 5 2 4 4 2 3" xfId="11588" xr:uid="{29C1EC1C-675F-4138-A9E4-5E384118AFCB}"/>
    <cellStyle name="Normal 5 2 4 4 3" xfId="5219" xr:uid="{00000000-0005-0000-0000-000012190000}"/>
    <cellStyle name="Normal 5 2 4 4 3 2" xfId="13661" xr:uid="{225C9370-2706-4A33-9074-FB5B5C2AB285}"/>
    <cellStyle name="Normal 5 2 4 4 4" xfId="9443" xr:uid="{F8A67E4E-9551-4233-AEC0-3A922CD5AE41}"/>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A9AACABF-DE63-46E4-9276-E6D919DD5384}"/>
    <cellStyle name="Normal 5 2 4 5 2 3" xfId="12001" xr:uid="{60C63C53-80B1-4097-AB4A-8CDD9856B594}"/>
    <cellStyle name="Normal 5 2 4 5 3" xfId="5632" xr:uid="{00000000-0005-0000-0000-000016190000}"/>
    <cellStyle name="Normal 5 2 4 5 3 2" xfId="14074" xr:uid="{9D0F72D9-30D4-40FA-AFD4-A850C917E9D7}"/>
    <cellStyle name="Normal 5 2 4 5 4" xfId="9856" xr:uid="{5222213A-C870-4FA0-B4DD-A4F33463908A}"/>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EE2AD238-7F74-4BBE-BEB2-8CD0A61D4EC3}"/>
    <cellStyle name="Normal 5 2 4 6 2 3" xfId="12414" xr:uid="{2A41589E-CA55-41C6-BF6C-90562263D131}"/>
    <cellStyle name="Normal 5 2 4 6 3" xfId="6045" xr:uid="{00000000-0005-0000-0000-00001A190000}"/>
    <cellStyle name="Normal 5 2 4 6 3 2" xfId="14487" xr:uid="{91D7574F-4210-442E-BE64-C76B16F6B994}"/>
    <cellStyle name="Normal 5 2 4 6 4" xfId="10269" xr:uid="{B9A3D32A-ADE3-4664-94F6-22D162FEC274}"/>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42313085-9ABE-451A-9718-0F4035EDB06C}"/>
    <cellStyle name="Normal 5 2 4 7 2 3" xfId="12827" xr:uid="{2E5B033C-5391-4CCA-86F5-CC5B4F78986A}"/>
    <cellStyle name="Normal 5 2 4 7 3" xfId="6458" xr:uid="{00000000-0005-0000-0000-00001E190000}"/>
    <cellStyle name="Normal 5 2 4 7 3 2" xfId="14900" xr:uid="{0E4364E1-87EC-4859-99B6-C8FA46489D7E}"/>
    <cellStyle name="Normal 5 2 4 7 4" xfId="10682" xr:uid="{50F56054-6FC6-4964-9262-FE882B269B1C}"/>
    <cellStyle name="Normal 5 2 4 8" xfId="2587" xr:uid="{00000000-0005-0000-0000-00001F190000}"/>
    <cellStyle name="Normal 5 2 4 8 2" xfId="6871" xr:uid="{00000000-0005-0000-0000-000020190000}"/>
    <cellStyle name="Normal 5 2 4 8 2 2" xfId="15313" xr:uid="{C7F13725-4CA4-4156-99F9-90202AB63217}"/>
    <cellStyle name="Normal 5 2 4 8 3" xfId="11095" xr:uid="{2115ED49-C62C-4D04-8360-3526D1E4C0AC}"/>
    <cellStyle name="Normal 5 2 4 9" xfId="4806" xr:uid="{00000000-0005-0000-0000-000021190000}"/>
    <cellStyle name="Normal 5 2 4 9 2" xfId="13248" xr:uid="{218B4F01-D277-4473-8D54-F1EAA01E8FF3}"/>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9BAF872D-3629-46AE-BDDA-D35A8F31C720}"/>
    <cellStyle name="Normal 5 2 5 2 2 2 3" xfId="11593" xr:uid="{33A4958C-5FB5-434F-8949-B5CD7D783B91}"/>
    <cellStyle name="Normal 5 2 5 2 2 3" xfId="5224" xr:uid="{00000000-0005-0000-0000-000027190000}"/>
    <cellStyle name="Normal 5 2 5 2 2 3 2" xfId="13666" xr:uid="{35ADB90E-3A70-4142-8EA1-CEEACD55CC3E}"/>
    <cellStyle name="Normal 5 2 5 2 2 4" xfId="9448" xr:uid="{75F09DD6-9D94-4F24-9855-59318CCC98B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767A49F9-63FC-4053-973B-73D2516E5A2C}"/>
    <cellStyle name="Normal 5 2 5 2 3 2 3" xfId="12006" xr:uid="{03B65F13-DF79-40D7-B26F-25A227326F5F}"/>
    <cellStyle name="Normal 5 2 5 2 3 3" xfId="5637" xr:uid="{00000000-0005-0000-0000-00002B190000}"/>
    <cellStyle name="Normal 5 2 5 2 3 3 2" xfId="14079" xr:uid="{07A06E72-81C6-42C7-BE3D-E9D00C541CEE}"/>
    <cellStyle name="Normal 5 2 5 2 3 4" xfId="9861" xr:uid="{B3241EF7-8979-4E29-83AE-A59FCEEA5EFF}"/>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B74D348E-875D-4F37-ABA9-5D13F5301B3C}"/>
    <cellStyle name="Normal 5 2 5 2 4 2 3" xfId="12419" xr:uid="{5D8DE609-A417-4E4C-9946-5EE669F6F2A5}"/>
    <cellStyle name="Normal 5 2 5 2 4 3" xfId="6050" xr:uid="{00000000-0005-0000-0000-00002F190000}"/>
    <cellStyle name="Normal 5 2 5 2 4 3 2" xfId="14492" xr:uid="{282DBC67-1D8F-4A82-8BB9-EDF8AAAFFF91}"/>
    <cellStyle name="Normal 5 2 5 2 4 4" xfId="10274" xr:uid="{5EDBC7BC-9BC2-4F38-B5EC-9F0A01561BBA}"/>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0F3898F4-A602-4C79-ACCC-AE900D15B8CB}"/>
    <cellStyle name="Normal 5 2 5 2 5 2 3" xfId="12832" xr:uid="{1E7C54F6-7607-4F8F-807D-59795B4BD263}"/>
    <cellStyle name="Normal 5 2 5 2 5 3" xfId="6463" xr:uid="{00000000-0005-0000-0000-000033190000}"/>
    <cellStyle name="Normal 5 2 5 2 5 3 2" xfId="14905" xr:uid="{8F377CBB-DB46-4517-9691-821C2D8FB8D7}"/>
    <cellStyle name="Normal 5 2 5 2 5 4" xfId="10687" xr:uid="{BB3276A1-3A0A-402D-A88C-F95E2F872444}"/>
    <cellStyle name="Normal 5 2 5 2 6" xfId="2592" xr:uid="{00000000-0005-0000-0000-000034190000}"/>
    <cellStyle name="Normal 5 2 5 2 6 2" xfId="6876" xr:uid="{00000000-0005-0000-0000-000035190000}"/>
    <cellStyle name="Normal 5 2 5 2 6 2 2" xfId="15318" xr:uid="{C00A8909-9582-4BD2-BBF2-5FA3F55B52D8}"/>
    <cellStyle name="Normal 5 2 5 2 6 3" xfId="11100" xr:uid="{62D60E63-EE67-49FA-9CBE-B7086D1D8989}"/>
    <cellStyle name="Normal 5 2 5 2 7" xfId="4811" xr:uid="{00000000-0005-0000-0000-000036190000}"/>
    <cellStyle name="Normal 5 2 5 2 7 2" xfId="13253" xr:uid="{41816C3C-3EC0-4BB7-8F5B-57A74B5A2F3A}"/>
    <cellStyle name="Normal 5 2 5 2 8" xfId="9035" xr:uid="{118BDE3D-7FDA-4596-8D1D-72F1D3D7013C}"/>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B8CA3DF5-D962-400E-BA3E-3EF67C3277AC}"/>
    <cellStyle name="Normal 5 2 5 3 2 3" xfId="11592" xr:uid="{CF3E4925-C140-4C3B-95E8-6DB3577D3B50}"/>
    <cellStyle name="Normal 5 2 5 3 3" xfId="5223" xr:uid="{00000000-0005-0000-0000-00003A190000}"/>
    <cellStyle name="Normal 5 2 5 3 3 2" xfId="13665" xr:uid="{DCBBC652-8C6E-4E46-8FC1-9F6A2C82C612}"/>
    <cellStyle name="Normal 5 2 5 3 4" xfId="9447" xr:uid="{CB1E5ADF-93A5-405E-9D0B-0C224A309C50}"/>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450C20AC-6757-4BB2-B8A6-8EE12F0999E0}"/>
    <cellStyle name="Normal 5 2 5 4 2 3" xfId="12005" xr:uid="{738E68A7-FFDE-469E-A9B7-EFFEC2C0EFA3}"/>
    <cellStyle name="Normal 5 2 5 4 3" xfId="5636" xr:uid="{00000000-0005-0000-0000-00003E190000}"/>
    <cellStyle name="Normal 5 2 5 4 3 2" xfId="14078" xr:uid="{27333B9E-7413-4745-AB75-F7C34D9371A7}"/>
    <cellStyle name="Normal 5 2 5 4 4" xfId="9860" xr:uid="{F9524845-70DB-416B-AE0B-B80E52ADEEE3}"/>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8DA73400-01ED-43DE-9206-1C0A7DAE78EB}"/>
    <cellStyle name="Normal 5 2 5 5 2 3" xfId="12418" xr:uid="{3F87BD85-B013-483D-A9B6-B599E7EDE91E}"/>
    <cellStyle name="Normal 5 2 5 5 3" xfId="6049" xr:uid="{00000000-0005-0000-0000-000042190000}"/>
    <cellStyle name="Normal 5 2 5 5 3 2" xfId="14491" xr:uid="{E270355A-9418-493E-B821-D00D150D983A}"/>
    <cellStyle name="Normal 5 2 5 5 4" xfId="10273" xr:uid="{7B7216C0-CDD6-4503-B64A-C6285BD882B4}"/>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2B03E67C-EC5E-4CC1-B4C6-AB97A8F89764}"/>
    <cellStyle name="Normal 5 2 5 6 2 3" xfId="12831" xr:uid="{D419B16E-D1B6-451A-92BB-8DE4E5D1ED1B}"/>
    <cellStyle name="Normal 5 2 5 6 3" xfId="6462" xr:uid="{00000000-0005-0000-0000-000046190000}"/>
    <cellStyle name="Normal 5 2 5 6 3 2" xfId="14904" xr:uid="{6AAFE2A7-15E4-4B38-8A79-4C30710B0B6D}"/>
    <cellStyle name="Normal 5 2 5 6 4" xfId="10686" xr:uid="{A9E36FF8-8FB1-4B6C-946D-5034BBFBDF0E}"/>
    <cellStyle name="Normal 5 2 5 7" xfId="2591" xr:uid="{00000000-0005-0000-0000-000047190000}"/>
    <cellStyle name="Normal 5 2 5 7 2" xfId="6875" xr:uid="{00000000-0005-0000-0000-000048190000}"/>
    <cellStyle name="Normal 5 2 5 7 2 2" xfId="15317" xr:uid="{1698F6AC-99BB-47BE-8291-30276983DBEE}"/>
    <cellStyle name="Normal 5 2 5 7 3" xfId="11099" xr:uid="{765E4FCB-C05D-4BE6-8ECB-6736AABC6F67}"/>
    <cellStyle name="Normal 5 2 5 8" xfId="4810" xr:uid="{00000000-0005-0000-0000-000049190000}"/>
    <cellStyle name="Normal 5 2 5 8 2" xfId="13252" xr:uid="{14C607B4-7312-4BCD-8BE7-2C7B75486E09}"/>
    <cellStyle name="Normal 5 2 5 9" xfId="9034" xr:uid="{40463E35-8C74-438D-8401-0D084D6E7616}"/>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474C20DA-9E6F-4AC6-B036-0EA44D43FDB8}"/>
    <cellStyle name="Normal 5 2 6 2 2 3" xfId="11594" xr:uid="{F7A6DD68-7B35-4D45-8739-43353804E2EA}"/>
    <cellStyle name="Normal 5 2 6 2 3" xfId="5225" xr:uid="{00000000-0005-0000-0000-00004E190000}"/>
    <cellStyle name="Normal 5 2 6 2 3 2" xfId="13667" xr:uid="{E07D6ED6-6057-4BDF-B95F-C5908A8F70A4}"/>
    <cellStyle name="Normal 5 2 6 2 4" xfId="9449" xr:uid="{5FA2CA05-FE98-46C9-871C-E24EF802FE1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BE119CC1-583A-42C8-BF7F-CF6797EA61AE}"/>
    <cellStyle name="Normal 5 2 6 3 2 3" xfId="12007" xr:uid="{89A0DF6A-4671-4895-BC5D-5A9A8C0B86CE}"/>
    <cellStyle name="Normal 5 2 6 3 3" xfId="5638" xr:uid="{00000000-0005-0000-0000-000052190000}"/>
    <cellStyle name="Normal 5 2 6 3 3 2" xfId="14080" xr:uid="{8AC221B5-24A9-4C81-BF74-9252197E50BC}"/>
    <cellStyle name="Normal 5 2 6 3 4" xfId="9862" xr:uid="{3D4DE91A-C188-4303-BFBD-5FDD5CBE40BC}"/>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891A9551-B343-4061-91A7-038D3050D905}"/>
    <cellStyle name="Normal 5 2 6 4 2 3" xfId="12420" xr:uid="{69332DD8-6EF0-4C14-A7BA-400893185FB0}"/>
    <cellStyle name="Normal 5 2 6 4 3" xfId="6051" xr:uid="{00000000-0005-0000-0000-000056190000}"/>
    <cellStyle name="Normal 5 2 6 4 3 2" xfId="14493" xr:uid="{2349295F-D905-4032-A227-72D1ED5B1680}"/>
    <cellStyle name="Normal 5 2 6 4 4" xfId="10275" xr:uid="{392268E2-D579-47EF-9BFA-4CCBAE954E0D}"/>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DF0D2985-61C7-444C-80B7-710C606B7785}"/>
    <cellStyle name="Normal 5 2 6 5 2 3" xfId="12833" xr:uid="{842EAFE6-0800-4F62-AF90-792F49724B7A}"/>
    <cellStyle name="Normal 5 2 6 5 3" xfId="6464" xr:uid="{00000000-0005-0000-0000-00005A190000}"/>
    <cellStyle name="Normal 5 2 6 5 3 2" xfId="14906" xr:uid="{77EA2FB3-190F-4016-AE97-87125072CB77}"/>
    <cellStyle name="Normal 5 2 6 5 4" xfId="10688" xr:uid="{D231D0CD-6029-439B-8635-FA320578931E}"/>
    <cellStyle name="Normal 5 2 6 6" xfId="2593" xr:uid="{00000000-0005-0000-0000-00005B190000}"/>
    <cellStyle name="Normal 5 2 6 6 2" xfId="6877" xr:uid="{00000000-0005-0000-0000-00005C190000}"/>
    <cellStyle name="Normal 5 2 6 6 2 2" xfId="15319" xr:uid="{B1D6F9F7-315F-47E1-8409-E1A2A78D8FE3}"/>
    <cellStyle name="Normal 5 2 6 6 3" xfId="11101" xr:uid="{C4C34A1C-0BF7-4D57-8191-4BCF2D999807}"/>
    <cellStyle name="Normal 5 2 6 7" xfId="4812" xr:uid="{00000000-0005-0000-0000-00005D190000}"/>
    <cellStyle name="Normal 5 2 6 7 2" xfId="13254" xr:uid="{4B78A507-4EC4-49FE-A66E-E40FC9DA7E65}"/>
    <cellStyle name="Normal 5 2 6 8" xfId="9036" xr:uid="{EE10BB01-8FF6-48B4-8782-67068E908B19}"/>
    <cellStyle name="Normal 5 2 7" xfId="881" xr:uid="{00000000-0005-0000-0000-00005E190000}"/>
    <cellStyle name="Normal 5 2 7 2" xfId="3116" xr:uid="{00000000-0005-0000-0000-00005F190000}"/>
    <cellStyle name="Normal 5 2 7 2 2" xfId="7339" xr:uid="{00000000-0005-0000-0000-000060190000}"/>
    <cellStyle name="Normal 5 2 7 2 2 2" xfId="15781" xr:uid="{A857EF2E-D466-4444-876F-15A73365247B}"/>
    <cellStyle name="Normal 5 2 7 2 3" xfId="11563" xr:uid="{01B08E08-7418-4DA4-B9BA-B04834EF684F}"/>
    <cellStyle name="Normal 5 2 7 3" xfId="5194" xr:uid="{00000000-0005-0000-0000-000061190000}"/>
    <cellStyle name="Normal 5 2 7 3 2" xfId="13636" xr:uid="{B65228D3-D0C1-4A66-A00F-4898AD3C8E0D}"/>
    <cellStyle name="Normal 5 2 7 4" xfId="9418" xr:uid="{148A2CB0-497A-4761-A3BA-3583394CC83B}"/>
    <cellStyle name="Normal 5 2 8" xfId="1299" xr:uid="{00000000-0005-0000-0000-000062190000}"/>
    <cellStyle name="Normal 5 2 8 2" xfId="3529" xr:uid="{00000000-0005-0000-0000-000063190000}"/>
    <cellStyle name="Normal 5 2 8 2 2" xfId="7752" xr:uid="{00000000-0005-0000-0000-000064190000}"/>
    <cellStyle name="Normal 5 2 8 2 2 2" xfId="16194" xr:uid="{CC41A15C-2A26-45B6-81E8-AE9B33195E74}"/>
    <cellStyle name="Normal 5 2 8 2 3" xfId="11976" xr:uid="{4800AEA7-0D4A-4F8D-BEA4-31CF5C6B2C24}"/>
    <cellStyle name="Normal 5 2 8 3" xfId="5607" xr:uid="{00000000-0005-0000-0000-000065190000}"/>
    <cellStyle name="Normal 5 2 8 3 2" xfId="14049" xr:uid="{33F1A65D-1ECD-4745-939A-E9D0DDB54454}"/>
    <cellStyle name="Normal 5 2 8 4" xfId="9831" xr:uid="{758514FA-B57A-429C-91B2-B7F1DC53883C}"/>
    <cellStyle name="Normal 5 2 9" xfId="1712" xr:uid="{00000000-0005-0000-0000-000066190000}"/>
    <cellStyle name="Normal 5 2 9 2" xfId="3942" xr:uid="{00000000-0005-0000-0000-000067190000}"/>
    <cellStyle name="Normal 5 2 9 2 2" xfId="8165" xr:uid="{00000000-0005-0000-0000-000068190000}"/>
    <cellStyle name="Normal 5 2 9 2 2 2" xfId="16607" xr:uid="{A29C3A21-09BE-41E6-9ECC-E3BD424A376C}"/>
    <cellStyle name="Normal 5 2 9 2 3" xfId="12389" xr:uid="{01A2FA41-CC36-4CA6-9F05-22E1ECF6F4FB}"/>
    <cellStyle name="Normal 5 2 9 3" xfId="6020" xr:uid="{00000000-0005-0000-0000-000069190000}"/>
    <cellStyle name="Normal 5 2 9 3 2" xfId="14462" xr:uid="{30E861A9-AF39-4708-A3F6-AF9D806BBDA6}"/>
    <cellStyle name="Normal 5 2 9 4" xfId="10244" xr:uid="{1AFFFA0E-8C29-46EC-A6B2-25E04A44D9E1}"/>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D31B5C64-51E6-4450-94D1-31F0BAFBE11A}"/>
    <cellStyle name="Normal 5 3 10 2 3" xfId="12834" xr:uid="{678E7B33-CA54-4243-9A88-DD8B2F9E9D62}"/>
    <cellStyle name="Normal 5 3 10 3" xfId="6465" xr:uid="{00000000-0005-0000-0000-00006E190000}"/>
    <cellStyle name="Normal 5 3 10 3 2" xfId="14907" xr:uid="{7FF4CEF0-2B86-4F31-8442-C4A7D946351D}"/>
    <cellStyle name="Normal 5 3 10 4" xfId="10689" xr:uid="{F96DA6F1-CA73-47B6-88F1-2C5B28EED40F}"/>
    <cellStyle name="Normal 5 3 11" xfId="2594" xr:uid="{00000000-0005-0000-0000-00006F190000}"/>
    <cellStyle name="Normal 5 3 11 2" xfId="6878" xr:uid="{00000000-0005-0000-0000-000070190000}"/>
    <cellStyle name="Normal 5 3 11 2 2" xfId="15320" xr:uid="{A3F970E9-D8E8-4B27-8EF0-104E633A6F31}"/>
    <cellStyle name="Normal 5 3 11 3" xfId="11102" xr:uid="{2D0FCB9D-8F72-4C64-8D39-F857D0E18C6F}"/>
    <cellStyle name="Normal 5 3 12" xfId="4813" xr:uid="{00000000-0005-0000-0000-000071190000}"/>
    <cellStyle name="Normal 5 3 12 2" xfId="13255" xr:uid="{BFD6025E-8375-4FD1-8FC6-1B1646E69752}"/>
    <cellStyle name="Normal 5 3 13" xfId="9037" xr:uid="{9D4699B9-D8A8-4A2F-A88C-063C92A006C7}"/>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37D52DF3-3D83-431C-A175-0950A5A51499}"/>
    <cellStyle name="Normal 5 3 3 11" xfId="9038" xr:uid="{7EE09DC7-EBAF-475C-B38D-6C7C87C6E4B9}"/>
    <cellStyle name="Normal 5 3 3 2" xfId="442" xr:uid="{00000000-0005-0000-0000-000076190000}"/>
    <cellStyle name="Normal 5 3 3 2 10" xfId="9039" xr:uid="{3CF80DB2-2853-43C2-AED0-D248AA691C79}"/>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4657497-BE38-4411-ADE9-F5D9B22AB7CB}"/>
    <cellStyle name="Normal 5 3 3 2 2 2 2 2 3" xfId="11599" xr:uid="{B3CC81AF-C708-442E-8613-CD9778946239}"/>
    <cellStyle name="Normal 5 3 3 2 2 2 2 3" xfId="5230" xr:uid="{00000000-0005-0000-0000-00007C190000}"/>
    <cellStyle name="Normal 5 3 3 2 2 2 2 3 2" xfId="13672" xr:uid="{D4FC56D1-B133-4DE3-B2AB-7078AA5E010F}"/>
    <cellStyle name="Normal 5 3 3 2 2 2 2 4" xfId="9454" xr:uid="{FD81089C-3E0B-4E7D-A1AA-E626A51FC92E}"/>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F9FFDF66-FBEF-4A52-A416-113B91876957}"/>
    <cellStyle name="Normal 5 3 3 2 2 2 3 2 3" xfId="12012" xr:uid="{C3ABB377-00EE-4FE0-849F-BEE03EBC1BED}"/>
    <cellStyle name="Normal 5 3 3 2 2 2 3 3" xfId="5643" xr:uid="{00000000-0005-0000-0000-000080190000}"/>
    <cellStyle name="Normal 5 3 3 2 2 2 3 3 2" xfId="14085" xr:uid="{8C3A16B5-960E-461C-B434-AA3FF740B92F}"/>
    <cellStyle name="Normal 5 3 3 2 2 2 3 4" xfId="9867" xr:uid="{6CB95909-5244-4213-A0F2-4B894595EE3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19C12741-8A77-4E33-9171-53C88468647E}"/>
    <cellStyle name="Normal 5 3 3 2 2 2 4 2 3" xfId="12425" xr:uid="{018EC385-8143-4DDF-BB24-399FD3593DA3}"/>
    <cellStyle name="Normal 5 3 3 2 2 2 4 3" xfId="6056" xr:uid="{00000000-0005-0000-0000-000084190000}"/>
    <cellStyle name="Normal 5 3 3 2 2 2 4 3 2" xfId="14498" xr:uid="{57420F6D-8862-405B-A4B9-36EE322004AE}"/>
    <cellStyle name="Normal 5 3 3 2 2 2 4 4" xfId="10280" xr:uid="{6E0005FD-2D96-4E8F-BAD5-7D6FB68C2776}"/>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9CC5E4E4-F792-4622-A510-FFA0633D3473}"/>
    <cellStyle name="Normal 5 3 3 2 2 2 5 2 3" xfId="12838" xr:uid="{A4C2D705-C887-4321-A322-BA7009DFAF2A}"/>
    <cellStyle name="Normal 5 3 3 2 2 2 5 3" xfId="6469" xr:uid="{00000000-0005-0000-0000-000088190000}"/>
    <cellStyle name="Normal 5 3 3 2 2 2 5 3 2" xfId="14911" xr:uid="{07AC2B73-DF3B-4BAE-998E-0A7FCEE7CD21}"/>
    <cellStyle name="Normal 5 3 3 2 2 2 5 4" xfId="10693" xr:uid="{3C7DE97C-7529-4C5D-9D7F-625A6935D75C}"/>
    <cellStyle name="Normal 5 3 3 2 2 2 6" xfId="2598" xr:uid="{00000000-0005-0000-0000-000089190000}"/>
    <cellStyle name="Normal 5 3 3 2 2 2 6 2" xfId="6882" xr:uid="{00000000-0005-0000-0000-00008A190000}"/>
    <cellStyle name="Normal 5 3 3 2 2 2 6 2 2" xfId="15324" xr:uid="{AFD56424-308D-4721-B32E-53B0500AEE7A}"/>
    <cellStyle name="Normal 5 3 3 2 2 2 6 3" xfId="11106" xr:uid="{62903CE2-C977-47A2-B936-A98C8FBA7924}"/>
    <cellStyle name="Normal 5 3 3 2 2 2 7" xfId="4817" xr:uid="{00000000-0005-0000-0000-00008B190000}"/>
    <cellStyle name="Normal 5 3 3 2 2 2 7 2" xfId="13259" xr:uid="{E3057DBA-4AC0-471A-947B-BDE447559C07}"/>
    <cellStyle name="Normal 5 3 3 2 2 2 8" xfId="9041" xr:uid="{478BB953-619D-4A1B-8D8B-DA67B7AB1F9A}"/>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90A28845-BE2D-4073-A52F-FC32FBD71092}"/>
    <cellStyle name="Normal 5 3 3 2 2 3 2 3" xfId="11598" xr:uid="{C2C15F9D-2536-42E7-A6B5-35C951D71873}"/>
    <cellStyle name="Normal 5 3 3 2 2 3 3" xfId="5229" xr:uid="{00000000-0005-0000-0000-00008F190000}"/>
    <cellStyle name="Normal 5 3 3 2 2 3 3 2" xfId="13671" xr:uid="{2A6B91B0-57E3-45B7-BF0D-553CA7D350DD}"/>
    <cellStyle name="Normal 5 3 3 2 2 3 4" xfId="9453" xr:uid="{2E4F556F-75CD-4A8E-9FC5-E55EA579AED9}"/>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B16480D5-E422-4D2E-83AF-A3CBAFD4B39C}"/>
    <cellStyle name="Normal 5 3 3 2 2 4 2 3" xfId="12011" xr:uid="{D65F89EE-90EB-4C4C-AFC0-2389DCA4CE77}"/>
    <cellStyle name="Normal 5 3 3 2 2 4 3" xfId="5642" xr:uid="{00000000-0005-0000-0000-000093190000}"/>
    <cellStyle name="Normal 5 3 3 2 2 4 3 2" xfId="14084" xr:uid="{9D8A90EF-47EF-4617-B308-87831A99985A}"/>
    <cellStyle name="Normal 5 3 3 2 2 4 4" xfId="9866" xr:uid="{244E45AA-CE2E-4FCC-91DF-210F76AC2017}"/>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9DE425E0-95D1-496C-8078-B6BFFFD0F90F}"/>
    <cellStyle name="Normal 5 3 3 2 2 5 2 3" xfId="12424" xr:uid="{6DD05880-3639-4C57-AF07-91A3A7A4FF14}"/>
    <cellStyle name="Normal 5 3 3 2 2 5 3" xfId="6055" xr:uid="{00000000-0005-0000-0000-000097190000}"/>
    <cellStyle name="Normal 5 3 3 2 2 5 3 2" xfId="14497" xr:uid="{A04D1FD3-496A-4C5E-AD44-F94E0D4676B4}"/>
    <cellStyle name="Normal 5 3 3 2 2 5 4" xfId="10279" xr:uid="{1E9CFDC9-C4FE-4050-BB89-0295D4EE41AC}"/>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95A119D0-49C9-4793-9E23-2030DFEE14D2}"/>
    <cellStyle name="Normal 5 3 3 2 2 6 2 3" xfId="12837" xr:uid="{FF8C112D-19CB-4382-9572-FF0299405A37}"/>
    <cellStyle name="Normal 5 3 3 2 2 6 3" xfId="6468" xr:uid="{00000000-0005-0000-0000-00009B190000}"/>
    <cellStyle name="Normal 5 3 3 2 2 6 3 2" xfId="14910" xr:uid="{BCB09012-F193-4B58-8AA1-E368D252FF5D}"/>
    <cellStyle name="Normal 5 3 3 2 2 6 4" xfId="10692" xr:uid="{5BD76C18-8F22-4E5F-9853-88AD6C55CBE2}"/>
    <cellStyle name="Normal 5 3 3 2 2 7" xfId="2597" xr:uid="{00000000-0005-0000-0000-00009C190000}"/>
    <cellStyle name="Normal 5 3 3 2 2 7 2" xfId="6881" xr:uid="{00000000-0005-0000-0000-00009D190000}"/>
    <cellStyle name="Normal 5 3 3 2 2 7 2 2" xfId="15323" xr:uid="{15083CE0-6ED3-44FD-A8D8-34BE9A5EAC06}"/>
    <cellStyle name="Normal 5 3 3 2 2 7 3" xfId="11105" xr:uid="{D116BF1D-26A4-461D-BAB9-E2FBCE57BB48}"/>
    <cellStyle name="Normal 5 3 3 2 2 8" xfId="4816" xr:uid="{00000000-0005-0000-0000-00009E190000}"/>
    <cellStyle name="Normal 5 3 3 2 2 8 2" xfId="13258" xr:uid="{A2FBD00A-0237-43AE-A826-2CEEDC90CB9A}"/>
    <cellStyle name="Normal 5 3 3 2 2 9" xfId="9040" xr:uid="{22714523-AB14-4559-AE0F-E2C3538CBCC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6FFF43B0-04AE-479F-8524-BCC93D6EF10F}"/>
    <cellStyle name="Normal 5 3 3 2 3 2 2 3" xfId="11600" xr:uid="{A44F1879-8CDB-4C2B-BC6E-DDF841C424C5}"/>
    <cellStyle name="Normal 5 3 3 2 3 2 3" xfId="5231" xr:uid="{00000000-0005-0000-0000-0000A3190000}"/>
    <cellStyle name="Normal 5 3 3 2 3 2 3 2" xfId="13673" xr:uid="{67A7260A-C8C6-4194-80A4-9600A3FBC9F7}"/>
    <cellStyle name="Normal 5 3 3 2 3 2 4" xfId="9455" xr:uid="{D8CB4793-60A8-459A-82D5-70F3C119B079}"/>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C62F56E4-81AB-4DD9-9320-C06B4D9C8A9B}"/>
    <cellStyle name="Normal 5 3 3 2 3 3 2 3" xfId="12013" xr:uid="{DF8602D5-3CA1-415E-A97E-E38F3E32580E}"/>
    <cellStyle name="Normal 5 3 3 2 3 3 3" xfId="5644" xr:uid="{00000000-0005-0000-0000-0000A7190000}"/>
    <cellStyle name="Normal 5 3 3 2 3 3 3 2" xfId="14086" xr:uid="{2FA38A67-2E84-4F21-93E2-06C9FA110924}"/>
    <cellStyle name="Normal 5 3 3 2 3 3 4" xfId="9868" xr:uid="{0258A4FA-0F71-462B-8FE7-5DC98F43770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E21B991C-7450-4E58-AF12-DE122BF7D6BD}"/>
    <cellStyle name="Normal 5 3 3 2 3 4 2 3" xfId="12426" xr:uid="{0216A9A6-6A7E-4360-B535-A6D912A89346}"/>
    <cellStyle name="Normal 5 3 3 2 3 4 3" xfId="6057" xr:uid="{00000000-0005-0000-0000-0000AB190000}"/>
    <cellStyle name="Normal 5 3 3 2 3 4 3 2" xfId="14499" xr:uid="{C8FCA924-7006-42F9-B6F6-363ECBE54043}"/>
    <cellStyle name="Normal 5 3 3 2 3 4 4" xfId="10281" xr:uid="{A501B4B8-52B5-47BF-A834-D28AFA8392D8}"/>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753753FE-F5DF-4A59-A5B2-3100BDD3F73A}"/>
    <cellStyle name="Normal 5 3 3 2 3 5 2 3" xfId="12839" xr:uid="{61B1F161-02CD-4F29-894A-FB6DF4DBB9A2}"/>
    <cellStyle name="Normal 5 3 3 2 3 5 3" xfId="6470" xr:uid="{00000000-0005-0000-0000-0000AF190000}"/>
    <cellStyle name="Normal 5 3 3 2 3 5 3 2" xfId="14912" xr:uid="{F51CE4D8-DAB3-4DE7-9999-D293396C9616}"/>
    <cellStyle name="Normal 5 3 3 2 3 5 4" xfId="10694" xr:uid="{0755E73C-2BED-48B3-9DD5-FA0B1E0D197B}"/>
    <cellStyle name="Normal 5 3 3 2 3 6" xfId="2599" xr:uid="{00000000-0005-0000-0000-0000B0190000}"/>
    <cellStyle name="Normal 5 3 3 2 3 6 2" xfId="6883" xr:uid="{00000000-0005-0000-0000-0000B1190000}"/>
    <cellStyle name="Normal 5 3 3 2 3 6 2 2" xfId="15325" xr:uid="{2EC4E316-1857-482B-B624-A094FA7B1D9D}"/>
    <cellStyle name="Normal 5 3 3 2 3 6 3" xfId="11107" xr:uid="{FA891508-7F79-4243-8453-3E9C2B0A444E}"/>
    <cellStyle name="Normal 5 3 3 2 3 7" xfId="4818" xr:uid="{00000000-0005-0000-0000-0000B2190000}"/>
    <cellStyle name="Normal 5 3 3 2 3 7 2" xfId="13260" xr:uid="{520512BD-8E18-4586-BFCB-F71900D6D0D4}"/>
    <cellStyle name="Normal 5 3 3 2 3 8" xfId="9042" xr:uid="{EE9C3B17-8E2E-47E1-B1FA-33A578E10A5A}"/>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9EA3540E-4C06-4351-A2E5-055131D691C3}"/>
    <cellStyle name="Normal 5 3 3 2 4 2 3" xfId="11597" xr:uid="{C8433A6B-F1DD-4D09-B5A7-57944A612DCE}"/>
    <cellStyle name="Normal 5 3 3 2 4 3" xfId="5228" xr:uid="{00000000-0005-0000-0000-0000B6190000}"/>
    <cellStyle name="Normal 5 3 3 2 4 3 2" xfId="13670" xr:uid="{1CF42390-73E6-4615-B953-B419069C62D4}"/>
    <cellStyle name="Normal 5 3 3 2 4 4" xfId="9452" xr:uid="{B72D4389-A47D-4D68-8E6B-592ADDB5FD12}"/>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CE782F97-59C0-45CE-A38E-801948C63628}"/>
    <cellStyle name="Normal 5 3 3 2 5 2 3" xfId="12010" xr:uid="{B73C4CB0-8E01-40C9-B29C-737DD2231892}"/>
    <cellStyle name="Normal 5 3 3 2 5 3" xfId="5641" xr:uid="{00000000-0005-0000-0000-0000BA190000}"/>
    <cellStyle name="Normal 5 3 3 2 5 3 2" xfId="14083" xr:uid="{53D8905F-D3EB-449C-BB1A-945D36AE0EFC}"/>
    <cellStyle name="Normal 5 3 3 2 5 4" xfId="9865" xr:uid="{A3932E48-6716-4CAC-B750-D2C917D3A08D}"/>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86F1210-A7F9-4D65-B555-6395471C314A}"/>
    <cellStyle name="Normal 5 3 3 2 6 2 3" xfId="12423" xr:uid="{4D46EA6A-F4F6-4E91-B1E2-0FB0F9E0A30F}"/>
    <cellStyle name="Normal 5 3 3 2 6 3" xfId="6054" xr:uid="{00000000-0005-0000-0000-0000BE190000}"/>
    <cellStyle name="Normal 5 3 3 2 6 3 2" xfId="14496" xr:uid="{C7501920-1106-4DB1-AEB1-3361BEF956D6}"/>
    <cellStyle name="Normal 5 3 3 2 6 4" xfId="10278" xr:uid="{2B953F6F-7C37-40DB-9055-A9017FE9A1B4}"/>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6A65F202-CD33-48FC-90ED-7FCA7F024F56}"/>
    <cellStyle name="Normal 5 3 3 2 7 2 3" xfId="12836" xr:uid="{FCFB3DE2-6CDD-4091-9560-19D7C74F2B1C}"/>
    <cellStyle name="Normal 5 3 3 2 7 3" xfId="6467" xr:uid="{00000000-0005-0000-0000-0000C2190000}"/>
    <cellStyle name="Normal 5 3 3 2 7 3 2" xfId="14909" xr:uid="{F0A4883B-672C-4E65-BBDE-4E124E34EDD2}"/>
    <cellStyle name="Normal 5 3 3 2 7 4" xfId="10691" xr:uid="{332C8D73-1942-4EBC-A14E-F9C2ABB115F0}"/>
    <cellStyle name="Normal 5 3 3 2 8" xfId="2596" xr:uid="{00000000-0005-0000-0000-0000C3190000}"/>
    <cellStyle name="Normal 5 3 3 2 8 2" xfId="6880" xr:uid="{00000000-0005-0000-0000-0000C4190000}"/>
    <cellStyle name="Normal 5 3 3 2 8 2 2" xfId="15322" xr:uid="{782C13A0-8D98-4E63-88C7-A257E6771369}"/>
    <cellStyle name="Normal 5 3 3 2 8 3" xfId="11104" xr:uid="{F03375F7-9C15-4029-B559-BEB2196BA4AA}"/>
    <cellStyle name="Normal 5 3 3 2 9" xfId="4815" xr:uid="{00000000-0005-0000-0000-0000C5190000}"/>
    <cellStyle name="Normal 5 3 3 2 9 2" xfId="13257" xr:uid="{B670DD6A-F776-48C8-AE38-315782384FD2}"/>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5BA57CE4-EDE3-4D74-B437-52D67BC68DD5}"/>
    <cellStyle name="Normal 5 3 3 3 2 2 2 3" xfId="11602" xr:uid="{0E6C6D56-BAC5-49EC-B9BA-1FE8735C854C}"/>
    <cellStyle name="Normal 5 3 3 3 2 2 3" xfId="5233" xr:uid="{00000000-0005-0000-0000-0000CB190000}"/>
    <cellStyle name="Normal 5 3 3 3 2 2 3 2" xfId="13675" xr:uid="{9860DC2B-26AD-4938-8930-CD583EEE75FE}"/>
    <cellStyle name="Normal 5 3 3 3 2 2 4" xfId="9457" xr:uid="{7E58CF1D-F753-4C0A-8605-5FF73C92B198}"/>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65DA4488-361D-4DE7-8092-B6DA1AC6F2EE}"/>
    <cellStyle name="Normal 5 3 3 3 2 3 2 3" xfId="12015" xr:uid="{62427084-BAE1-4204-A875-A84746408848}"/>
    <cellStyle name="Normal 5 3 3 3 2 3 3" xfId="5646" xr:uid="{00000000-0005-0000-0000-0000CF190000}"/>
    <cellStyle name="Normal 5 3 3 3 2 3 3 2" xfId="14088" xr:uid="{15B05A24-E7D7-413D-9DB8-498118EB6A21}"/>
    <cellStyle name="Normal 5 3 3 3 2 3 4" xfId="9870" xr:uid="{C8F90E35-97B7-4CD6-957F-BEFD2DF34C0F}"/>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54B2AA0D-5F0A-4D49-A14B-C1101C5C7C89}"/>
    <cellStyle name="Normal 5 3 3 3 2 4 2 3" xfId="12428" xr:uid="{D1E5B067-9E2E-4AE3-8DE7-838BCC1C2C10}"/>
    <cellStyle name="Normal 5 3 3 3 2 4 3" xfId="6059" xr:uid="{00000000-0005-0000-0000-0000D3190000}"/>
    <cellStyle name="Normal 5 3 3 3 2 4 3 2" xfId="14501" xr:uid="{054F44B8-3E64-4007-A6CD-05183669B59F}"/>
    <cellStyle name="Normal 5 3 3 3 2 4 4" xfId="10283" xr:uid="{50530FAD-AD67-47CF-B04D-697B1A11A5AE}"/>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C2E4AC64-2B42-4D7F-A370-6554897F4073}"/>
    <cellStyle name="Normal 5 3 3 3 2 5 2 3" xfId="12841" xr:uid="{6B53A0CE-AA61-4323-8F02-E6FF65813767}"/>
    <cellStyle name="Normal 5 3 3 3 2 5 3" xfId="6472" xr:uid="{00000000-0005-0000-0000-0000D7190000}"/>
    <cellStyle name="Normal 5 3 3 3 2 5 3 2" xfId="14914" xr:uid="{0599F1CD-2239-41FC-97D3-76A2826F5725}"/>
    <cellStyle name="Normal 5 3 3 3 2 5 4" xfId="10696" xr:uid="{9E46CF76-498F-4311-85DE-7B4814048629}"/>
    <cellStyle name="Normal 5 3 3 3 2 6" xfId="2601" xr:uid="{00000000-0005-0000-0000-0000D8190000}"/>
    <cellStyle name="Normal 5 3 3 3 2 6 2" xfId="6885" xr:uid="{00000000-0005-0000-0000-0000D9190000}"/>
    <cellStyle name="Normal 5 3 3 3 2 6 2 2" xfId="15327" xr:uid="{D6ECA619-8535-4637-847E-837957788231}"/>
    <cellStyle name="Normal 5 3 3 3 2 6 3" xfId="11109" xr:uid="{55CD6F4B-003A-4012-A4ED-9C34B1A8F38A}"/>
    <cellStyle name="Normal 5 3 3 3 2 7" xfId="4820" xr:uid="{00000000-0005-0000-0000-0000DA190000}"/>
    <cellStyle name="Normal 5 3 3 3 2 7 2" xfId="13262" xr:uid="{EA73FADB-26CC-49DF-BD27-55883010E752}"/>
    <cellStyle name="Normal 5 3 3 3 2 8" xfId="9044" xr:uid="{AA984FFB-9579-4894-8E33-63769456F072}"/>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225CA6ED-5404-48F5-B9F7-A01215A359A4}"/>
    <cellStyle name="Normal 5 3 3 3 3 2 3" xfId="11601" xr:uid="{72228907-4E24-492A-891C-73EF56E22956}"/>
    <cellStyle name="Normal 5 3 3 3 3 3" xfId="5232" xr:uid="{00000000-0005-0000-0000-0000DE190000}"/>
    <cellStyle name="Normal 5 3 3 3 3 3 2" xfId="13674" xr:uid="{159290B5-C7B9-4D5D-9913-A02D7D4A6622}"/>
    <cellStyle name="Normal 5 3 3 3 3 4" xfId="9456" xr:uid="{F415992C-D800-4799-A334-9ADA5FDB1972}"/>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DB93A3FE-D937-4B6A-821D-2C2B95B7A464}"/>
    <cellStyle name="Normal 5 3 3 3 4 2 3" xfId="12014" xr:uid="{01236D6C-4868-4549-8912-4746E55A66B5}"/>
    <cellStyle name="Normal 5 3 3 3 4 3" xfId="5645" xr:uid="{00000000-0005-0000-0000-0000E2190000}"/>
    <cellStyle name="Normal 5 3 3 3 4 3 2" xfId="14087" xr:uid="{9D961E2B-F7DD-42D5-B893-00579F431877}"/>
    <cellStyle name="Normal 5 3 3 3 4 4" xfId="9869" xr:uid="{1643EEE7-8A23-4C55-92A9-9C2BE4BC698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739A0559-E9AA-451D-ADE8-E0859EB1941C}"/>
    <cellStyle name="Normal 5 3 3 3 5 2 3" xfId="12427" xr:uid="{BE563AEE-A853-4E5A-B83D-244A62270185}"/>
    <cellStyle name="Normal 5 3 3 3 5 3" xfId="6058" xr:uid="{00000000-0005-0000-0000-0000E6190000}"/>
    <cellStyle name="Normal 5 3 3 3 5 3 2" xfId="14500" xr:uid="{775DCCF4-D2F8-484F-BE4E-92B3401030FB}"/>
    <cellStyle name="Normal 5 3 3 3 5 4" xfId="10282" xr:uid="{14CBD7E7-1763-4C0F-A120-312D3411EC93}"/>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B76EA326-7723-4CF7-8DCD-3BF3AD17C08F}"/>
    <cellStyle name="Normal 5 3 3 3 6 2 3" xfId="12840" xr:uid="{0EA773B6-B6CA-4AB9-BCE3-0729706E6BA2}"/>
    <cellStyle name="Normal 5 3 3 3 6 3" xfId="6471" xr:uid="{00000000-0005-0000-0000-0000EA190000}"/>
    <cellStyle name="Normal 5 3 3 3 6 3 2" xfId="14913" xr:uid="{140EAED8-65A9-422A-9C2E-3191845A1C19}"/>
    <cellStyle name="Normal 5 3 3 3 6 4" xfId="10695" xr:uid="{B68483D1-AFB3-4114-ACE8-769301D7BEDE}"/>
    <cellStyle name="Normal 5 3 3 3 7" xfId="2600" xr:uid="{00000000-0005-0000-0000-0000EB190000}"/>
    <cellStyle name="Normal 5 3 3 3 7 2" xfId="6884" xr:uid="{00000000-0005-0000-0000-0000EC190000}"/>
    <cellStyle name="Normal 5 3 3 3 7 2 2" xfId="15326" xr:uid="{C3335980-DCDF-4AA1-B2AC-5FFA0241628F}"/>
    <cellStyle name="Normal 5 3 3 3 7 3" xfId="11108" xr:uid="{50183BC8-BE2C-4258-9B52-AF030A5516EE}"/>
    <cellStyle name="Normal 5 3 3 3 8" xfId="4819" xr:uid="{00000000-0005-0000-0000-0000ED190000}"/>
    <cellStyle name="Normal 5 3 3 3 8 2" xfId="13261" xr:uid="{A8F25971-520A-4AC7-A8EB-6E58F232ED63}"/>
    <cellStyle name="Normal 5 3 3 3 9" xfId="9043" xr:uid="{AFDCDF20-3BEF-44CA-BB9C-4C70BEC4572E}"/>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AD442944-AF75-4120-98D6-10156B4B5127}"/>
    <cellStyle name="Normal 5 3 3 4 2 2 3" xfId="11603" xr:uid="{5FBDA9EE-AAEB-4A93-8BED-BBF91A6A8F9A}"/>
    <cellStyle name="Normal 5 3 3 4 2 3" xfId="5234" xr:uid="{00000000-0005-0000-0000-0000F2190000}"/>
    <cellStyle name="Normal 5 3 3 4 2 3 2" xfId="13676" xr:uid="{DB4C08EF-6A61-42D3-8F2F-650F9BD367F1}"/>
    <cellStyle name="Normal 5 3 3 4 2 4" xfId="9458" xr:uid="{14A21188-25FB-47B4-94D1-C294FEF00552}"/>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DF9352C0-5541-450A-8096-EE43C416B390}"/>
    <cellStyle name="Normal 5 3 3 4 3 2 3" xfId="12016" xr:uid="{E0411F96-240A-487B-A400-6CC512C6BB97}"/>
    <cellStyle name="Normal 5 3 3 4 3 3" xfId="5647" xr:uid="{00000000-0005-0000-0000-0000F6190000}"/>
    <cellStyle name="Normal 5 3 3 4 3 3 2" xfId="14089" xr:uid="{BDD025E6-4080-4344-8ED4-D8769B3376F1}"/>
    <cellStyle name="Normal 5 3 3 4 3 4" xfId="9871" xr:uid="{D15EBBED-773E-4FD3-A9D8-061E42B07ED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6A909AB5-2A83-4391-950E-F6B53D4E5692}"/>
    <cellStyle name="Normal 5 3 3 4 4 2 3" xfId="12429" xr:uid="{E86FB8AF-9DE5-4BB2-ACE7-4EAE70E49EE1}"/>
    <cellStyle name="Normal 5 3 3 4 4 3" xfId="6060" xr:uid="{00000000-0005-0000-0000-0000FA190000}"/>
    <cellStyle name="Normal 5 3 3 4 4 3 2" xfId="14502" xr:uid="{FE1FD374-0F9A-4F43-94F0-E66D951FADE1}"/>
    <cellStyle name="Normal 5 3 3 4 4 4" xfId="10284" xr:uid="{72DC6F14-C328-4DB4-9E7B-E0FD3F1DEC49}"/>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4A464061-ABDB-4D81-A04E-3DB5707164F4}"/>
    <cellStyle name="Normal 5 3 3 4 5 2 3" xfId="12842" xr:uid="{B0B905F9-F583-4874-B4C3-8F16023F2530}"/>
    <cellStyle name="Normal 5 3 3 4 5 3" xfId="6473" xr:uid="{00000000-0005-0000-0000-0000FE190000}"/>
    <cellStyle name="Normal 5 3 3 4 5 3 2" xfId="14915" xr:uid="{48160168-B278-4D65-8748-2A18215A668E}"/>
    <cellStyle name="Normal 5 3 3 4 5 4" xfId="10697" xr:uid="{D20EE27F-86FF-44FE-825A-CBEEF154410D}"/>
    <cellStyle name="Normal 5 3 3 4 6" xfId="2602" xr:uid="{00000000-0005-0000-0000-0000FF190000}"/>
    <cellStyle name="Normal 5 3 3 4 6 2" xfId="6886" xr:uid="{00000000-0005-0000-0000-0000001A0000}"/>
    <cellStyle name="Normal 5 3 3 4 6 2 2" xfId="15328" xr:uid="{CF3B43E2-F14D-4EE9-A331-6F02EEB64EC2}"/>
    <cellStyle name="Normal 5 3 3 4 6 3" xfId="11110" xr:uid="{DA3D69B7-11D2-4934-91BA-DF6B5F648340}"/>
    <cellStyle name="Normal 5 3 3 4 7" xfId="4821" xr:uid="{00000000-0005-0000-0000-0000011A0000}"/>
    <cellStyle name="Normal 5 3 3 4 7 2" xfId="13263" xr:uid="{668F4330-33AA-402A-A27F-8980AB1CBAB3}"/>
    <cellStyle name="Normal 5 3 3 4 8" xfId="9045" xr:uid="{7D2E5668-2920-4B33-8C3D-087EA8349CC1}"/>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7D8B9A79-5E40-4168-AACE-ABBF2A9559A2}"/>
    <cellStyle name="Normal 5 3 3 5 2 3" xfId="11596" xr:uid="{3CC1139E-E10E-465B-958A-A068137A77B0}"/>
    <cellStyle name="Normal 5 3 3 5 3" xfId="5227" xr:uid="{00000000-0005-0000-0000-0000051A0000}"/>
    <cellStyle name="Normal 5 3 3 5 3 2" xfId="13669" xr:uid="{C3C0F1D1-C720-48E6-86EC-F1CAA89EAD71}"/>
    <cellStyle name="Normal 5 3 3 5 4" xfId="9451" xr:uid="{00B79B38-B768-48BB-9BD0-C7D356295112}"/>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581F53A-0DA9-462A-BA3F-AF08837713A4}"/>
    <cellStyle name="Normal 5 3 3 6 2 3" xfId="12009" xr:uid="{17E0C81D-9466-4432-8F00-9FABB1DF459B}"/>
    <cellStyle name="Normal 5 3 3 6 3" xfId="5640" xr:uid="{00000000-0005-0000-0000-0000091A0000}"/>
    <cellStyle name="Normal 5 3 3 6 3 2" xfId="14082" xr:uid="{E6DFBD09-487A-42A5-821C-823EEBCD3244}"/>
    <cellStyle name="Normal 5 3 3 6 4" xfId="9864" xr:uid="{04B3CADC-615C-4197-A148-221FB4E801DC}"/>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F0E2CF86-2CF8-4A66-AA6B-20BA4CF8DD53}"/>
    <cellStyle name="Normal 5 3 3 7 2 3" xfId="12422" xr:uid="{CCF9D6CD-B772-43AB-9CD8-B9B811878A4D}"/>
    <cellStyle name="Normal 5 3 3 7 3" xfId="6053" xr:uid="{00000000-0005-0000-0000-00000D1A0000}"/>
    <cellStyle name="Normal 5 3 3 7 3 2" xfId="14495" xr:uid="{A334CFE2-C3C4-43FD-A1C8-42DB90A08E81}"/>
    <cellStyle name="Normal 5 3 3 7 4" xfId="10277" xr:uid="{8D5C069A-0A00-4CD6-95F3-D085CE6892CA}"/>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EF0C34DD-6EF4-4791-8FD9-F28CBEA94351}"/>
    <cellStyle name="Normal 5 3 3 8 2 3" xfId="12835" xr:uid="{2B06A22F-C41E-433D-B7D7-B4BA6F9D815B}"/>
    <cellStyle name="Normal 5 3 3 8 3" xfId="6466" xr:uid="{00000000-0005-0000-0000-0000111A0000}"/>
    <cellStyle name="Normal 5 3 3 8 3 2" xfId="14908" xr:uid="{21241501-CBDD-4269-94EB-0D9F89EFEC6E}"/>
    <cellStyle name="Normal 5 3 3 8 4" xfId="10690" xr:uid="{31152574-CD52-46C7-BEB9-4E7FB3403DEC}"/>
    <cellStyle name="Normal 5 3 3 9" xfId="2595" xr:uid="{00000000-0005-0000-0000-0000121A0000}"/>
    <cellStyle name="Normal 5 3 3 9 2" xfId="6879" xr:uid="{00000000-0005-0000-0000-0000131A0000}"/>
    <cellStyle name="Normal 5 3 3 9 2 2" xfId="15321" xr:uid="{305B0E99-B636-4ABE-9EDF-CB6E38757871}"/>
    <cellStyle name="Normal 5 3 3 9 3" xfId="11103" xr:uid="{75A908C4-0930-4EF5-846C-F1584E5BBC55}"/>
    <cellStyle name="Normal 5 3 4" xfId="449" xr:uid="{00000000-0005-0000-0000-0000141A0000}"/>
    <cellStyle name="Normal 5 3 4 10" xfId="9046" xr:uid="{CE1D87F1-CC6B-45EF-8487-EFD05C25F7A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79786E66-1B37-4168-8D46-2443045D6562}"/>
    <cellStyle name="Normal 5 3 4 2 2 2 2 3" xfId="11606" xr:uid="{C1CE7C15-F00B-4A1E-9F71-0EDAC43F83AF}"/>
    <cellStyle name="Normal 5 3 4 2 2 2 3" xfId="5237" xr:uid="{00000000-0005-0000-0000-00001A1A0000}"/>
    <cellStyle name="Normal 5 3 4 2 2 2 3 2" xfId="13679" xr:uid="{8B8FE961-9082-43B3-88C0-2EECBB595BA3}"/>
    <cellStyle name="Normal 5 3 4 2 2 2 4" xfId="9461" xr:uid="{82EE6700-DA33-45AA-BEFB-C58DB851589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8079C64-99EC-47BC-A705-98B5B90B6D7C}"/>
    <cellStyle name="Normal 5 3 4 2 2 3 2 3" xfId="12019" xr:uid="{608A1651-C5AB-443D-A9B7-DDC9FF3114B7}"/>
    <cellStyle name="Normal 5 3 4 2 2 3 3" xfId="5650" xr:uid="{00000000-0005-0000-0000-00001E1A0000}"/>
    <cellStyle name="Normal 5 3 4 2 2 3 3 2" xfId="14092" xr:uid="{B0389A96-9DA2-4973-AA47-C9790BEC2FFF}"/>
    <cellStyle name="Normal 5 3 4 2 2 3 4" xfId="9874" xr:uid="{259DE65E-1D95-449A-8FDA-00AEB1157E07}"/>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9F903596-559C-45CA-A282-D116BE55B867}"/>
    <cellStyle name="Normal 5 3 4 2 2 4 2 3" xfId="12432" xr:uid="{9A8628DC-33F4-44CD-8C8D-ECFADA5965C0}"/>
    <cellStyle name="Normal 5 3 4 2 2 4 3" xfId="6063" xr:uid="{00000000-0005-0000-0000-0000221A0000}"/>
    <cellStyle name="Normal 5 3 4 2 2 4 3 2" xfId="14505" xr:uid="{A22B7E42-5B93-4C96-A693-F31BAF3874BA}"/>
    <cellStyle name="Normal 5 3 4 2 2 4 4" xfId="10287" xr:uid="{748C58FD-F75A-48B9-AE24-4F89902D804A}"/>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98FDF55B-C711-48EC-A866-A0356FA9AB00}"/>
    <cellStyle name="Normal 5 3 4 2 2 5 2 3" xfId="12845" xr:uid="{8C653360-E3BD-433C-B394-608E1F06CC05}"/>
    <cellStyle name="Normal 5 3 4 2 2 5 3" xfId="6476" xr:uid="{00000000-0005-0000-0000-0000261A0000}"/>
    <cellStyle name="Normal 5 3 4 2 2 5 3 2" xfId="14918" xr:uid="{165A39E7-97BC-484A-B57E-D1A054FDCE4C}"/>
    <cellStyle name="Normal 5 3 4 2 2 5 4" xfId="10700" xr:uid="{69839AB3-131C-4F59-B9C2-0489B9DB04AB}"/>
    <cellStyle name="Normal 5 3 4 2 2 6" xfId="2605" xr:uid="{00000000-0005-0000-0000-0000271A0000}"/>
    <cellStyle name="Normal 5 3 4 2 2 6 2" xfId="6889" xr:uid="{00000000-0005-0000-0000-0000281A0000}"/>
    <cellStyle name="Normal 5 3 4 2 2 6 2 2" xfId="15331" xr:uid="{EDDE2708-2468-4FF0-97BB-65D7C5514B52}"/>
    <cellStyle name="Normal 5 3 4 2 2 6 3" xfId="11113" xr:uid="{6DF59BB7-C7C1-4305-8D6B-06B55F327F8F}"/>
    <cellStyle name="Normal 5 3 4 2 2 7" xfId="4824" xr:uid="{00000000-0005-0000-0000-0000291A0000}"/>
    <cellStyle name="Normal 5 3 4 2 2 7 2" xfId="13266" xr:uid="{310FFA46-D056-4AF6-B911-E461EE2B006E}"/>
    <cellStyle name="Normal 5 3 4 2 2 8" xfId="9048" xr:uid="{594947DB-4847-4B4B-A75F-2B88F325359B}"/>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1768E9C6-0DF5-468E-BDE4-B0B5CDC6B613}"/>
    <cellStyle name="Normal 5 3 4 2 3 2 3" xfId="11605" xr:uid="{42D502E8-D963-4F47-8AAA-FAF154DAAD0D}"/>
    <cellStyle name="Normal 5 3 4 2 3 3" xfId="5236" xr:uid="{00000000-0005-0000-0000-00002D1A0000}"/>
    <cellStyle name="Normal 5 3 4 2 3 3 2" xfId="13678" xr:uid="{EE33C681-5F5B-40AC-A51F-03FC6FCFEFEB}"/>
    <cellStyle name="Normal 5 3 4 2 3 4" xfId="9460" xr:uid="{EAE1C3A5-5D08-40AB-8EA9-13F68883180C}"/>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AD4BD7DB-E5BB-4FA2-B673-AFCE937CB0A6}"/>
    <cellStyle name="Normal 5 3 4 2 4 2 3" xfId="12018" xr:uid="{79C4E97C-2A87-4A2A-B58D-4192C34D6828}"/>
    <cellStyle name="Normal 5 3 4 2 4 3" xfId="5649" xr:uid="{00000000-0005-0000-0000-0000311A0000}"/>
    <cellStyle name="Normal 5 3 4 2 4 3 2" xfId="14091" xr:uid="{F85D8165-EE21-4E3F-A88C-96AD194D61D6}"/>
    <cellStyle name="Normal 5 3 4 2 4 4" xfId="9873" xr:uid="{15439A07-7E48-4208-8EC5-9723DC4A35C5}"/>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EC0302AA-791C-47ED-966E-32BD121C2E30}"/>
    <cellStyle name="Normal 5 3 4 2 5 2 3" xfId="12431" xr:uid="{C6455C81-7AFA-4050-9B7E-DA083772DC91}"/>
    <cellStyle name="Normal 5 3 4 2 5 3" xfId="6062" xr:uid="{00000000-0005-0000-0000-0000351A0000}"/>
    <cellStyle name="Normal 5 3 4 2 5 3 2" xfId="14504" xr:uid="{118454B2-7781-4A70-82AD-056CC8416855}"/>
    <cellStyle name="Normal 5 3 4 2 5 4" xfId="10286" xr:uid="{280F55F6-8248-44CA-82CB-73F2D90CF078}"/>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3A4330C1-B6C8-4D94-8E62-27AF4FF83459}"/>
    <cellStyle name="Normal 5 3 4 2 6 2 3" xfId="12844" xr:uid="{BD29C4E2-6E88-49CD-B763-F6403038F0CE}"/>
    <cellStyle name="Normal 5 3 4 2 6 3" xfId="6475" xr:uid="{00000000-0005-0000-0000-0000391A0000}"/>
    <cellStyle name="Normal 5 3 4 2 6 3 2" xfId="14917" xr:uid="{C1408113-B91B-4BDB-8616-CBC3F5F80EA3}"/>
    <cellStyle name="Normal 5 3 4 2 6 4" xfId="10699" xr:uid="{AC71F716-F896-43CC-9B9B-F6DB74039505}"/>
    <cellStyle name="Normal 5 3 4 2 7" xfId="2604" xr:uid="{00000000-0005-0000-0000-00003A1A0000}"/>
    <cellStyle name="Normal 5 3 4 2 7 2" xfId="6888" xr:uid="{00000000-0005-0000-0000-00003B1A0000}"/>
    <cellStyle name="Normal 5 3 4 2 7 2 2" xfId="15330" xr:uid="{78BDC1B4-65FE-402C-9219-D0106E3D0C8D}"/>
    <cellStyle name="Normal 5 3 4 2 7 3" xfId="11112" xr:uid="{3C75C771-BEF0-4381-A677-5E2864CBDB86}"/>
    <cellStyle name="Normal 5 3 4 2 8" xfId="4823" xr:uid="{00000000-0005-0000-0000-00003C1A0000}"/>
    <cellStyle name="Normal 5 3 4 2 8 2" xfId="13265" xr:uid="{12A6FBCA-2BDE-4706-AF70-BCC6310FE959}"/>
    <cellStyle name="Normal 5 3 4 2 9" xfId="9047" xr:uid="{1307B97A-D59A-4A64-A868-DBBFE2D474FF}"/>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9DCF6E08-B75A-43B1-AD16-67CC48E96EE1}"/>
    <cellStyle name="Normal 5 3 4 3 2 2 3" xfId="11607" xr:uid="{541683C5-F127-488C-90B4-A6E887F84E96}"/>
    <cellStyle name="Normal 5 3 4 3 2 3" xfId="5238" xr:uid="{00000000-0005-0000-0000-0000411A0000}"/>
    <cellStyle name="Normal 5 3 4 3 2 3 2" xfId="13680" xr:uid="{4C427899-8EC3-4A47-BA34-56AFC2A60519}"/>
    <cellStyle name="Normal 5 3 4 3 2 4" xfId="9462" xr:uid="{48A1C060-CF89-4C4E-8A29-87A2FC2896C6}"/>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3A494DD1-3EE2-4945-BD1D-3546BAE978BA}"/>
    <cellStyle name="Normal 5 3 4 3 3 2 3" xfId="12020" xr:uid="{DACD93A3-B973-498B-BD61-A3999643F8AE}"/>
    <cellStyle name="Normal 5 3 4 3 3 3" xfId="5651" xr:uid="{00000000-0005-0000-0000-0000451A0000}"/>
    <cellStyle name="Normal 5 3 4 3 3 3 2" xfId="14093" xr:uid="{2369DC26-3132-4BE9-888D-0E800519FB65}"/>
    <cellStyle name="Normal 5 3 4 3 3 4" xfId="9875" xr:uid="{A7F1B347-0448-4171-B841-6EDC495D792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90918297-EA6B-44B5-99C2-11942DA4CFF4}"/>
    <cellStyle name="Normal 5 3 4 3 4 2 3" xfId="12433" xr:uid="{D0BCCBC7-650C-4C6B-98C6-06B0A74FD0FC}"/>
    <cellStyle name="Normal 5 3 4 3 4 3" xfId="6064" xr:uid="{00000000-0005-0000-0000-0000491A0000}"/>
    <cellStyle name="Normal 5 3 4 3 4 3 2" xfId="14506" xr:uid="{643DC5BF-0AFA-4B4A-9EC4-D307A693D938}"/>
    <cellStyle name="Normal 5 3 4 3 4 4" xfId="10288" xr:uid="{63893EC1-62E5-43F4-B11F-6A3D31CCD032}"/>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29E42871-51F1-4D11-BA40-F75C18F4B16A}"/>
    <cellStyle name="Normal 5 3 4 3 5 2 3" xfId="12846" xr:uid="{B2C9EAD1-7438-41CD-B53B-D94E7A123B99}"/>
    <cellStyle name="Normal 5 3 4 3 5 3" xfId="6477" xr:uid="{00000000-0005-0000-0000-00004D1A0000}"/>
    <cellStyle name="Normal 5 3 4 3 5 3 2" xfId="14919" xr:uid="{7B15793A-1443-49F5-8DDC-36AD79B7AABC}"/>
    <cellStyle name="Normal 5 3 4 3 5 4" xfId="10701" xr:uid="{3B8587DA-2C0D-482E-91E6-311B57FF519F}"/>
    <cellStyle name="Normal 5 3 4 3 6" xfId="2606" xr:uid="{00000000-0005-0000-0000-00004E1A0000}"/>
    <cellStyle name="Normal 5 3 4 3 6 2" xfId="6890" xr:uid="{00000000-0005-0000-0000-00004F1A0000}"/>
    <cellStyle name="Normal 5 3 4 3 6 2 2" xfId="15332" xr:uid="{21826804-3BBF-40BC-AF8B-196D28760DBC}"/>
    <cellStyle name="Normal 5 3 4 3 6 3" xfId="11114" xr:uid="{375AAA92-04DA-44AD-A3F8-2CFE7CABDA9A}"/>
    <cellStyle name="Normal 5 3 4 3 7" xfId="4825" xr:uid="{00000000-0005-0000-0000-0000501A0000}"/>
    <cellStyle name="Normal 5 3 4 3 7 2" xfId="13267" xr:uid="{27B6A76E-8664-4A1C-B81F-893EFC7EFC8E}"/>
    <cellStyle name="Normal 5 3 4 3 8" xfId="9049" xr:uid="{B2EEE994-C368-4824-AFB5-E7EB42402347}"/>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2F93E907-584F-4806-9DF5-0C77534D38D8}"/>
    <cellStyle name="Normal 5 3 4 4 2 3" xfId="11604" xr:uid="{797FEB43-8A5B-4713-86F6-85E9E50335FE}"/>
    <cellStyle name="Normal 5 3 4 4 3" xfId="5235" xr:uid="{00000000-0005-0000-0000-0000541A0000}"/>
    <cellStyle name="Normal 5 3 4 4 3 2" xfId="13677" xr:uid="{29633540-B77E-4C85-AE67-E25B91E310FA}"/>
    <cellStyle name="Normal 5 3 4 4 4" xfId="9459" xr:uid="{83CA3047-C1E9-4489-B6B6-1E816A7F66E7}"/>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9ADB4FD2-86BD-4CAB-85ED-4A89B87BC028}"/>
    <cellStyle name="Normal 5 3 4 5 2 3" xfId="12017" xr:uid="{063827AA-DE8C-48E9-932B-E1C7F5194AF4}"/>
    <cellStyle name="Normal 5 3 4 5 3" xfId="5648" xr:uid="{00000000-0005-0000-0000-0000581A0000}"/>
    <cellStyle name="Normal 5 3 4 5 3 2" xfId="14090" xr:uid="{DB454805-2EFA-48AC-A5EF-2B6CEF08ECBB}"/>
    <cellStyle name="Normal 5 3 4 5 4" xfId="9872" xr:uid="{F9F63126-FCFD-4893-B78E-39277E684CD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FF7631BC-0A02-46E4-905C-D171D76CE701}"/>
    <cellStyle name="Normal 5 3 4 6 2 3" xfId="12430" xr:uid="{C79E01A9-9208-45B5-AEF1-9835895C53B0}"/>
    <cellStyle name="Normal 5 3 4 6 3" xfId="6061" xr:uid="{00000000-0005-0000-0000-00005C1A0000}"/>
    <cellStyle name="Normal 5 3 4 6 3 2" xfId="14503" xr:uid="{DE31545E-F48D-429B-87F7-658EACC471EA}"/>
    <cellStyle name="Normal 5 3 4 6 4" xfId="10285" xr:uid="{3AC9DD80-5658-4899-BC8F-DF4789B7CAA0}"/>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198FAD40-F66A-42AB-8E94-585BF85D436D}"/>
    <cellStyle name="Normal 5 3 4 7 2 3" xfId="12843" xr:uid="{DFFF888D-60E3-4392-8DB8-4319A74ACCAB}"/>
    <cellStyle name="Normal 5 3 4 7 3" xfId="6474" xr:uid="{00000000-0005-0000-0000-0000601A0000}"/>
    <cellStyle name="Normal 5 3 4 7 3 2" xfId="14916" xr:uid="{99009140-57E0-4E85-8BC9-233BC4E26E17}"/>
    <cellStyle name="Normal 5 3 4 7 4" xfId="10698" xr:uid="{DB6307E3-BDB7-412E-9D79-76FB15D70E55}"/>
    <cellStyle name="Normal 5 3 4 8" xfId="2603" xr:uid="{00000000-0005-0000-0000-0000611A0000}"/>
    <cellStyle name="Normal 5 3 4 8 2" xfId="6887" xr:uid="{00000000-0005-0000-0000-0000621A0000}"/>
    <cellStyle name="Normal 5 3 4 8 2 2" xfId="15329" xr:uid="{BEEC1F60-7E09-4A55-848C-7CEB4461BDA6}"/>
    <cellStyle name="Normal 5 3 4 8 3" xfId="11111" xr:uid="{3552FD91-6E09-4F13-BA97-72A89DB826B2}"/>
    <cellStyle name="Normal 5 3 4 9" xfId="4822" xr:uid="{00000000-0005-0000-0000-0000631A0000}"/>
    <cellStyle name="Normal 5 3 4 9 2" xfId="13264" xr:uid="{E6D3D763-9D91-45A9-8411-6D877C6FACE4}"/>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69A3BE01-150D-439D-B43E-9ADB70D59922}"/>
    <cellStyle name="Normal 5 3 5 2 2 2 3" xfId="11609" xr:uid="{C7677D6C-1D66-481C-B01B-4632AAE1D045}"/>
    <cellStyle name="Normal 5 3 5 2 2 3" xfId="5240" xr:uid="{00000000-0005-0000-0000-0000691A0000}"/>
    <cellStyle name="Normal 5 3 5 2 2 3 2" xfId="13682" xr:uid="{4F6506F5-E96D-495E-8859-F3D9471CFBBE}"/>
    <cellStyle name="Normal 5 3 5 2 2 4" xfId="9464" xr:uid="{24ACA753-A64A-4227-BF4D-E47F34741427}"/>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D129C0B0-D86C-4242-A77E-EB137AF6758A}"/>
    <cellStyle name="Normal 5 3 5 2 3 2 3" xfId="12022" xr:uid="{121CB100-CADE-4B59-8A23-F87126A84FCB}"/>
    <cellStyle name="Normal 5 3 5 2 3 3" xfId="5653" xr:uid="{00000000-0005-0000-0000-00006D1A0000}"/>
    <cellStyle name="Normal 5 3 5 2 3 3 2" xfId="14095" xr:uid="{7C4EE515-E40C-4C72-942D-CA767F387710}"/>
    <cellStyle name="Normal 5 3 5 2 3 4" xfId="9877" xr:uid="{8E259A13-F33E-44B6-B791-6D6CC47A9B3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7BDFDCBD-77F1-4F19-BDCD-ED33EF97A1CC}"/>
    <cellStyle name="Normal 5 3 5 2 4 2 3" xfId="12435" xr:uid="{44A7E604-2CDA-43F0-917D-0F5087F7774A}"/>
    <cellStyle name="Normal 5 3 5 2 4 3" xfId="6066" xr:uid="{00000000-0005-0000-0000-0000711A0000}"/>
    <cellStyle name="Normal 5 3 5 2 4 3 2" xfId="14508" xr:uid="{906F1E0A-E7CB-4A8B-A30B-AB32E817515C}"/>
    <cellStyle name="Normal 5 3 5 2 4 4" xfId="10290" xr:uid="{0CA4BCF5-030A-4ADD-A894-CB4854A6247F}"/>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E8C850A1-9B71-4993-BB92-F1D76CFA7302}"/>
    <cellStyle name="Normal 5 3 5 2 5 2 3" xfId="12848" xr:uid="{4034477D-BD53-483D-ADD9-B473CC467CC2}"/>
    <cellStyle name="Normal 5 3 5 2 5 3" xfId="6479" xr:uid="{00000000-0005-0000-0000-0000751A0000}"/>
    <cellStyle name="Normal 5 3 5 2 5 3 2" xfId="14921" xr:uid="{3A189A2F-C77A-415F-BFD1-7B52EB2DF9A5}"/>
    <cellStyle name="Normal 5 3 5 2 5 4" xfId="10703" xr:uid="{3FC19031-FAFC-4E94-B987-4C70FBC833A7}"/>
    <cellStyle name="Normal 5 3 5 2 6" xfId="2608" xr:uid="{00000000-0005-0000-0000-0000761A0000}"/>
    <cellStyle name="Normal 5 3 5 2 6 2" xfId="6892" xr:uid="{00000000-0005-0000-0000-0000771A0000}"/>
    <cellStyle name="Normal 5 3 5 2 6 2 2" xfId="15334" xr:uid="{DFE68103-D8F8-4DB0-95A6-C849741DA485}"/>
    <cellStyle name="Normal 5 3 5 2 6 3" xfId="11116" xr:uid="{8983BC02-73D5-4854-BFBA-EF3F22632B38}"/>
    <cellStyle name="Normal 5 3 5 2 7" xfId="4827" xr:uid="{00000000-0005-0000-0000-0000781A0000}"/>
    <cellStyle name="Normal 5 3 5 2 7 2" xfId="13269" xr:uid="{466FBD11-CDFC-4D42-8AD9-A464630E4C30}"/>
    <cellStyle name="Normal 5 3 5 2 8" xfId="9051" xr:uid="{61789600-5631-4788-A2E8-FCB6F0078EB5}"/>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08DE043B-AE6F-4709-9A9D-1E1AC7D6B57A}"/>
    <cellStyle name="Normal 5 3 5 3 2 3" xfId="11608" xr:uid="{2F9203B6-CFC5-4326-81A6-1F753C3BB475}"/>
    <cellStyle name="Normal 5 3 5 3 3" xfId="5239" xr:uid="{00000000-0005-0000-0000-00007C1A0000}"/>
    <cellStyle name="Normal 5 3 5 3 3 2" xfId="13681" xr:uid="{C83C6E66-A128-4277-90F2-E2A8AE759817}"/>
    <cellStyle name="Normal 5 3 5 3 4" xfId="9463" xr:uid="{DA0B114E-97DF-4812-BB2A-BB122A55161A}"/>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C63092BB-6F43-429C-8349-588090E92EB2}"/>
    <cellStyle name="Normal 5 3 5 4 2 3" xfId="12021" xr:uid="{2E7BB149-BA6C-44CA-9BBE-7F129614D234}"/>
    <cellStyle name="Normal 5 3 5 4 3" xfId="5652" xr:uid="{00000000-0005-0000-0000-0000801A0000}"/>
    <cellStyle name="Normal 5 3 5 4 3 2" xfId="14094" xr:uid="{F917FB2D-1DF3-4976-B50B-BA599FF29F65}"/>
    <cellStyle name="Normal 5 3 5 4 4" xfId="9876" xr:uid="{9268EC3E-D295-44A2-9C2C-6905231896CB}"/>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06657B49-C322-4AB1-973F-B0356923D521}"/>
    <cellStyle name="Normal 5 3 5 5 2 3" xfId="12434" xr:uid="{0371F172-7CFA-4B4D-B37F-737CBFB36ABC}"/>
    <cellStyle name="Normal 5 3 5 5 3" xfId="6065" xr:uid="{00000000-0005-0000-0000-0000841A0000}"/>
    <cellStyle name="Normal 5 3 5 5 3 2" xfId="14507" xr:uid="{6EBD6039-2317-4005-B0AC-767570CBDECE}"/>
    <cellStyle name="Normal 5 3 5 5 4" xfId="10289" xr:uid="{515162D0-E439-408F-8662-637C6ED8F027}"/>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93B532B-CEF9-49E4-BE29-9C6EDFE23D8B}"/>
    <cellStyle name="Normal 5 3 5 6 2 3" xfId="12847" xr:uid="{B71CE694-F67F-43C6-B351-4038D4307415}"/>
    <cellStyle name="Normal 5 3 5 6 3" xfId="6478" xr:uid="{00000000-0005-0000-0000-0000881A0000}"/>
    <cellStyle name="Normal 5 3 5 6 3 2" xfId="14920" xr:uid="{0E0E7FEA-2420-4778-B1C0-69D2018ECFAF}"/>
    <cellStyle name="Normal 5 3 5 6 4" xfId="10702" xr:uid="{98901BF6-2A6A-41F0-8140-9BE047B07DE3}"/>
    <cellStyle name="Normal 5 3 5 7" xfId="2607" xr:uid="{00000000-0005-0000-0000-0000891A0000}"/>
    <cellStyle name="Normal 5 3 5 7 2" xfId="6891" xr:uid="{00000000-0005-0000-0000-00008A1A0000}"/>
    <cellStyle name="Normal 5 3 5 7 2 2" xfId="15333" xr:uid="{045C752A-57DF-4C66-A0DE-3554D7054DA3}"/>
    <cellStyle name="Normal 5 3 5 7 3" xfId="11115" xr:uid="{70C56F11-698A-491C-863F-D5488AB892A8}"/>
    <cellStyle name="Normal 5 3 5 8" xfId="4826" xr:uid="{00000000-0005-0000-0000-00008B1A0000}"/>
    <cellStyle name="Normal 5 3 5 8 2" xfId="13268" xr:uid="{5E9BB166-B46C-4F77-AB43-980F02A28CEB}"/>
    <cellStyle name="Normal 5 3 5 9" xfId="9050" xr:uid="{0C31AC01-0A49-4C97-817F-E72D5089328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15832190-E616-4DA7-9BA5-D7A1730DA565}"/>
    <cellStyle name="Normal 5 3 6 2 2 3" xfId="11610" xr:uid="{AFFDF177-77D8-4CF1-A258-201669947AD6}"/>
    <cellStyle name="Normal 5 3 6 2 3" xfId="5241" xr:uid="{00000000-0005-0000-0000-0000901A0000}"/>
    <cellStyle name="Normal 5 3 6 2 3 2" xfId="13683" xr:uid="{2D4A1C5E-932A-4C23-8F38-6FC8CE18709B}"/>
    <cellStyle name="Normal 5 3 6 2 4" xfId="9465" xr:uid="{C6247A08-5900-47AE-B3D4-0E6BE3C30B98}"/>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F9D059A6-C9C8-4DFB-88C3-62639D998063}"/>
    <cellStyle name="Normal 5 3 6 3 2 3" xfId="12023" xr:uid="{65C3B978-0689-47DF-B421-FFAC7F9BEA51}"/>
    <cellStyle name="Normal 5 3 6 3 3" xfId="5654" xr:uid="{00000000-0005-0000-0000-0000941A0000}"/>
    <cellStyle name="Normal 5 3 6 3 3 2" xfId="14096" xr:uid="{320CF24D-0AB1-458B-9DE6-451C9B3DA0D4}"/>
    <cellStyle name="Normal 5 3 6 3 4" xfId="9878" xr:uid="{C94C6E13-FA8E-4E18-87E8-C8FE988C16C5}"/>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8630406F-598D-4B0B-BACD-F1A8D81663C7}"/>
    <cellStyle name="Normal 5 3 6 4 2 3" xfId="12436" xr:uid="{74AF3F94-6758-4191-9694-2F5EC5155D99}"/>
    <cellStyle name="Normal 5 3 6 4 3" xfId="6067" xr:uid="{00000000-0005-0000-0000-0000981A0000}"/>
    <cellStyle name="Normal 5 3 6 4 3 2" xfId="14509" xr:uid="{4CF08C0E-2F1D-4695-B800-4024919E3930}"/>
    <cellStyle name="Normal 5 3 6 4 4" xfId="10291" xr:uid="{5B84A3E3-0D55-4A22-9592-CF5EAF178B60}"/>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61EFD7C4-B539-4F9E-9748-6C598A4C89F8}"/>
    <cellStyle name="Normal 5 3 6 5 2 3" xfId="12849" xr:uid="{CC6A2CFE-6BE7-4676-A7C8-77BDC46058DC}"/>
    <cellStyle name="Normal 5 3 6 5 3" xfId="6480" xr:uid="{00000000-0005-0000-0000-00009C1A0000}"/>
    <cellStyle name="Normal 5 3 6 5 3 2" xfId="14922" xr:uid="{E0544B86-BD05-41C6-B881-0DA2A718A580}"/>
    <cellStyle name="Normal 5 3 6 5 4" xfId="10704" xr:uid="{AD3B2988-8C44-4386-9553-E95568345D8D}"/>
    <cellStyle name="Normal 5 3 6 6" xfId="2609" xr:uid="{00000000-0005-0000-0000-00009D1A0000}"/>
    <cellStyle name="Normal 5 3 6 6 2" xfId="6893" xr:uid="{00000000-0005-0000-0000-00009E1A0000}"/>
    <cellStyle name="Normal 5 3 6 6 2 2" xfId="15335" xr:uid="{30C630B4-B932-44B9-B753-18E434DE9A24}"/>
    <cellStyle name="Normal 5 3 6 6 3" xfId="11117" xr:uid="{86B36CC9-6A91-4C62-ABEE-B2708E9321EA}"/>
    <cellStyle name="Normal 5 3 6 7" xfId="4828" xr:uid="{00000000-0005-0000-0000-00009F1A0000}"/>
    <cellStyle name="Normal 5 3 6 7 2" xfId="13270" xr:uid="{EB35E4F7-A1D8-4A93-AB95-7236ACEE5DD5}"/>
    <cellStyle name="Normal 5 3 6 8" xfId="9052" xr:uid="{4542F540-195D-4621-89C9-4E4832FA2951}"/>
    <cellStyle name="Normal 5 3 7" xfId="913" xr:uid="{00000000-0005-0000-0000-0000A01A0000}"/>
    <cellStyle name="Normal 5 3 7 2" xfId="3148" xr:uid="{00000000-0005-0000-0000-0000A11A0000}"/>
    <cellStyle name="Normal 5 3 7 2 2" xfId="7371" xr:uid="{00000000-0005-0000-0000-0000A21A0000}"/>
    <cellStyle name="Normal 5 3 7 2 2 2" xfId="15813" xr:uid="{A4F94086-5310-4ADC-8DEA-D7AE1A508416}"/>
    <cellStyle name="Normal 5 3 7 2 3" xfId="11595" xr:uid="{003A24B8-9D94-4555-8F14-47BE0EF6FF3A}"/>
    <cellStyle name="Normal 5 3 7 3" xfId="5226" xr:uid="{00000000-0005-0000-0000-0000A31A0000}"/>
    <cellStyle name="Normal 5 3 7 3 2" xfId="13668" xr:uid="{99384C92-C325-492C-B658-B8B812F3D18D}"/>
    <cellStyle name="Normal 5 3 7 4" xfId="9450" xr:uid="{6AE9624F-E595-4151-BA5F-B1A4EDB749CA}"/>
    <cellStyle name="Normal 5 3 8" xfId="1331" xr:uid="{00000000-0005-0000-0000-0000A41A0000}"/>
    <cellStyle name="Normal 5 3 8 2" xfId="3561" xr:uid="{00000000-0005-0000-0000-0000A51A0000}"/>
    <cellStyle name="Normal 5 3 8 2 2" xfId="7784" xr:uid="{00000000-0005-0000-0000-0000A61A0000}"/>
    <cellStyle name="Normal 5 3 8 2 2 2" xfId="16226" xr:uid="{3CC2C809-A44B-4943-A2C7-B358D0189271}"/>
    <cellStyle name="Normal 5 3 8 2 3" xfId="12008" xr:uid="{873EE493-D139-4C6C-8F9A-F55B00EAFA4B}"/>
    <cellStyle name="Normal 5 3 8 3" xfId="5639" xr:uid="{00000000-0005-0000-0000-0000A71A0000}"/>
    <cellStyle name="Normal 5 3 8 3 2" xfId="14081" xr:uid="{C433E77E-875C-4F4F-B159-6B5C9A0A1527}"/>
    <cellStyle name="Normal 5 3 8 4" xfId="9863" xr:uid="{36C1DD77-A78B-4FCB-89EE-A88E414CE3DE}"/>
    <cellStyle name="Normal 5 3 9" xfId="1744" xr:uid="{00000000-0005-0000-0000-0000A81A0000}"/>
    <cellStyle name="Normal 5 3 9 2" xfId="3974" xr:uid="{00000000-0005-0000-0000-0000A91A0000}"/>
    <cellStyle name="Normal 5 3 9 2 2" xfId="8197" xr:uid="{00000000-0005-0000-0000-0000AA1A0000}"/>
    <cellStyle name="Normal 5 3 9 2 2 2" xfId="16639" xr:uid="{56B71C2C-0B6B-41ED-A254-55A1501ED9AB}"/>
    <cellStyle name="Normal 5 3 9 2 3" xfId="12421" xr:uid="{F8F0AE37-2DEB-4734-8A53-EE8857A23058}"/>
    <cellStyle name="Normal 5 3 9 3" xfId="6052" xr:uid="{00000000-0005-0000-0000-0000AB1A0000}"/>
    <cellStyle name="Normal 5 3 9 3 2" xfId="14494" xr:uid="{1725115D-E37E-4E0C-9B18-695ADD13F428}"/>
    <cellStyle name="Normal 5 3 9 4" xfId="10276" xr:uid="{02825F36-C661-4135-BA0C-A7541EA1F130}"/>
    <cellStyle name="Normal 5 4" xfId="456" xr:uid="{00000000-0005-0000-0000-0000AC1A0000}"/>
    <cellStyle name="Normal 5 4 10" xfId="4829" xr:uid="{00000000-0005-0000-0000-0000AD1A0000}"/>
    <cellStyle name="Normal 5 4 10 2" xfId="13271" xr:uid="{055AF85F-4A03-4961-86C6-55EBA99CABAC}"/>
    <cellStyle name="Normal 5 4 11" xfId="9053" xr:uid="{BB46CAF2-9BA3-4BE7-A29E-4E64A411E1E3}"/>
    <cellStyle name="Normal 5 4 2" xfId="457" xr:uid="{00000000-0005-0000-0000-0000AE1A0000}"/>
    <cellStyle name="Normal 5 4 2 10" xfId="9054" xr:uid="{0940C9B8-F1F2-4686-AB4C-05EDA59322CB}"/>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D82FDC71-3171-4942-A3EA-A8CCBFA532B2}"/>
    <cellStyle name="Normal 5 4 2 2 2 2 2 3" xfId="11614" xr:uid="{18825D79-F8CC-4456-831C-4EF17E007E07}"/>
    <cellStyle name="Normal 5 4 2 2 2 2 3" xfId="5245" xr:uid="{00000000-0005-0000-0000-0000B41A0000}"/>
    <cellStyle name="Normal 5 4 2 2 2 2 3 2" xfId="13687" xr:uid="{17A3975B-B6F4-4CA7-9377-3B2E57181EF7}"/>
    <cellStyle name="Normal 5 4 2 2 2 2 4" xfId="9469" xr:uid="{0C44A4FC-DFC9-4B35-80EB-95EC27579A9B}"/>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F32A265E-8F59-474D-8ECA-544F754A66AA}"/>
    <cellStyle name="Normal 5 4 2 2 2 3 2 3" xfId="12027" xr:uid="{4A740464-6FE4-4B7C-AC7A-71BDE9984C7B}"/>
    <cellStyle name="Normal 5 4 2 2 2 3 3" xfId="5658" xr:uid="{00000000-0005-0000-0000-0000B81A0000}"/>
    <cellStyle name="Normal 5 4 2 2 2 3 3 2" xfId="14100" xr:uid="{D59141B1-E27E-4B5E-83D2-9125BD40B319}"/>
    <cellStyle name="Normal 5 4 2 2 2 3 4" xfId="9882" xr:uid="{4D1C11BE-252E-4531-A668-9BDFAE2AEBF1}"/>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BC2859C4-35AA-47A7-B77C-EF7C9CB18E16}"/>
    <cellStyle name="Normal 5 4 2 2 2 4 2 3" xfId="12440" xr:uid="{9191A5B1-4F3D-4484-A2DD-C7B71AA62BEB}"/>
    <cellStyle name="Normal 5 4 2 2 2 4 3" xfId="6071" xr:uid="{00000000-0005-0000-0000-0000BC1A0000}"/>
    <cellStyle name="Normal 5 4 2 2 2 4 3 2" xfId="14513" xr:uid="{5C2B68AC-D54F-4273-B5E0-12E983D3AE55}"/>
    <cellStyle name="Normal 5 4 2 2 2 4 4" xfId="10295" xr:uid="{956F8B9C-9AC4-4F95-BF80-F873C97816C3}"/>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9E52E700-8333-434A-884B-386B0481C4E3}"/>
    <cellStyle name="Normal 5 4 2 2 2 5 2 3" xfId="12853" xr:uid="{6AC75EBC-C188-4D86-9539-2F37A0211D44}"/>
    <cellStyle name="Normal 5 4 2 2 2 5 3" xfId="6484" xr:uid="{00000000-0005-0000-0000-0000C01A0000}"/>
    <cellStyle name="Normal 5 4 2 2 2 5 3 2" xfId="14926" xr:uid="{382AE026-9785-4B30-AB6B-E179D896440F}"/>
    <cellStyle name="Normal 5 4 2 2 2 5 4" xfId="10708" xr:uid="{C3A21EAC-9317-4A44-8C3E-3F4BF3187D3B}"/>
    <cellStyle name="Normal 5 4 2 2 2 6" xfId="2613" xr:uid="{00000000-0005-0000-0000-0000C11A0000}"/>
    <cellStyle name="Normal 5 4 2 2 2 6 2" xfId="6897" xr:uid="{00000000-0005-0000-0000-0000C21A0000}"/>
    <cellStyle name="Normal 5 4 2 2 2 6 2 2" xfId="15339" xr:uid="{A3FB6D0C-2901-47B1-8C18-F4FA65BA56DB}"/>
    <cellStyle name="Normal 5 4 2 2 2 6 3" xfId="11121" xr:uid="{8D189462-1592-4A3E-A2F6-7FA4E8E16EF4}"/>
    <cellStyle name="Normal 5 4 2 2 2 7" xfId="4832" xr:uid="{00000000-0005-0000-0000-0000C31A0000}"/>
    <cellStyle name="Normal 5 4 2 2 2 7 2" xfId="13274" xr:uid="{C3DBBC1B-FCA5-48D4-8577-6D05E4CF021D}"/>
    <cellStyle name="Normal 5 4 2 2 2 8" xfId="9056" xr:uid="{80E35096-14E7-4A65-A3D5-DCA637E2FBEB}"/>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6E976C92-F657-416C-98F6-6C07CCFFF4CD}"/>
    <cellStyle name="Normal 5 4 2 2 3 2 3" xfId="11613" xr:uid="{043272CF-F4CF-4D98-9A22-87A945B60FD4}"/>
    <cellStyle name="Normal 5 4 2 2 3 3" xfId="5244" xr:uid="{00000000-0005-0000-0000-0000C71A0000}"/>
    <cellStyle name="Normal 5 4 2 2 3 3 2" xfId="13686" xr:uid="{D36CB207-A2EF-4C71-9E93-2893108A5F4C}"/>
    <cellStyle name="Normal 5 4 2 2 3 4" xfId="9468" xr:uid="{1BADB4FA-7F6A-4A8D-934B-9AD049AFA26A}"/>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51891B15-1CB0-4C45-B5BF-E3933B31FFE3}"/>
    <cellStyle name="Normal 5 4 2 2 4 2 3" xfId="12026" xr:uid="{6E719575-3DB3-4EF2-8B0E-4B8AD89F3771}"/>
    <cellStyle name="Normal 5 4 2 2 4 3" xfId="5657" xr:uid="{00000000-0005-0000-0000-0000CB1A0000}"/>
    <cellStyle name="Normal 5 4 2 2 4 3 2" xfId="14099" xr:uid="{5EAB3C23-3EA9-4211-AD16-A0D177E7AD38}"/>
    <cellStyle name="Normal 5 4 2 2 4 4" xfId="9881" xr:uid="{BCB9F668-B555-4C8E-86A6-181B5D5ED5D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D57F3434-EFD5-4016-9B1A-86B7483ECD54}"/>
    <cellStyle name="Normal 5 4 2 2 5 2 3" xfId="12439" xr:uid="{0CC93711-BB17-42DB-8936-7B773735F737}"/>
    <cellStyle name="Normal 5 4 2 2 5 3" xfId="6070" xr:uid="{00000000-0005-0000-0000-0000CF1A0000}"/>
    <cellStyle name="Normal 5 4 2 2 5 3 2" xfId="14512" xr:uid="{8630EC4D-745A-4722-9CF0-D27EDA6F807A}"/>
    <cellStyle name="Normal 5 4 2 2 5 4" xfId="10294" xr:uid="{F4B118E9-543B-439C-B7FF-30DDECC9FBFC}"/>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4535DA9D-EF09-4278-B22F-22B113C4D911}"/>
    <cellStyle name="Normal 5 4 2 2 6 2 3" xfId="12852" xr:uid="{38DE364E-2EE7-4AC2-B22F-C4A2EA457A16}"/>
    <cellStyle name="Normal 5 4 2 2 6 3" xfId="6483" xr:uid="{00000000-0005-0000-0000-0000D31A0000}"/>
    <cellStyle name="Normal 5 4 2 2 6 3 2" xfId="14925" xr:uid="{74761044-5C84-4D80-9B5E-8CCF8C0BBF82}"/>
    <cellStyle name="Normal 5 4 2 2 6 4" xfId="10707" xr:uid="{8C733A7A-FF42-4BF5-86D8-9A10FADD5111}"/>
    <cellStyle name="Normal 5 4 2 2 7" xfId="2612" xr:uid="{00000000-0005-0000-0000-0000D41A0000}"/>
    <cellStyle name="Normal 5 4 2 2 7 2" xfId="6896" xr:uid="{00000000-0005-0000-0000-0000D51A0000}"/>
    <cellStyle name="Normal 5 4 2 2 7 2 2" xfId="15338" xr:uid="{4E7E9D37-769F-423D-AF95-CF97328C5ED0}"/>
    <cellStyle name="Normal 5 4 2 2 7 3" xfId="11120" xr:uid="{4F635D87-BC0B-4BBE-8EB5-A9D372F5AE93}"/>
    <cellStyle name="Normal 5 4 2 2 8" xfId="4831" xr:uid="{00000000-0005-0000-0000-0000D61A0000}"/>
    <cellStyle name="Normal 5 4 2 2 8 2" xfId="13273" xr:uid="{5F71C5C2-8A37-4776-8DB6-C533432CAFF0}"/>
    <cellStyle name="Normal 5 4 2 2 9" xfId="9055" xr:uid="{B7DD70B2-6F90-43D0-BE42-48E344A9A556}"/>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64AA09E6-9728-4570-922C-6BCBB7673DA7}"/>
    <cellStyle name="Normal 5 4 2 3 2 2 3" xfId="11615" xr:uid="{BA5E5066-6EB6-42B7-A23D-51887BB56307}"/>
    <cellStyle name="Normal 5 4 2 3 2 3" xfId="5246" xr:uid="{00000000-0005-0000-0000-0000DB1A0000}"/>
    <cellStyle name="Normal 5 4 2 3 2 3 2" xfId="13688" xr:uid="{6152C83C-C0DF-4BE5-9B02-945D4ABFDFC2}"/>
    <cellStyle name="Normal 5 4 2 3 2 4" xfId="9470" xr:uid="{0EC79CF9-4370-4B09-B9E9-A79C0B3619EF}"/>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7CD5FFF1-F6FA-46AF-BE81-646F37023411}"/>
    <cellStyle name="Normal 5 4 2 3 3 2 3" xfId="12028" xr:uid="{3A3AE1D3-870F-4086-8353-939C30C6F643}"/>
    <cellStyle name="Normal 5 4 2 3 3 3" xfId="5659" xr:uid="{00000000-0005-0000-0000-0000DF1A0000}"/>
    <cellStyle name="Normal 5 4 2 3 3 3 2" xfId="14101" xr:uid="{75C9F4A2-F3FE-4782-996E-E3558C9A962F}"/>
    <cellStyle name="Normal 5 4 2 3 3 4" xfId="9883" xr:uid="{BED275C2-6AE8-4753-AF5F-16DCF5836087}"/>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88AED9FD-A194-4D49-9D92-FB7ADFC9ACF1}"/>
    <cellStyle name="Normal 5 4 2 3 4 2 3" xfId="12441" xr:uid="{BAF87736-E62B-45C9-A0CE-CC4CA76D8006}"/>
    <cellStyle name="Normal 5 4 2 3 4 3" xfId="6072" xr:uid="{00000000-0005-0000-0000-0000E31A0000}"/>
    <cellStyle name="Normal 5 4 2 3 4 3 2" xfId="14514" xr:uid="{09062AB4-0B87-4985-B375-6BC9414B2C22}"/>
    <cellStyle name="Normal 5 4 2 3 4 4" xfId="10296" xr:uid="{BE6A7845-6436-4D16-A040-45FFF43E5261}"/>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20827B86-3D6A-4E30-ADD1-74169197D2AD}"/>
    <cellStyle name="Normal 5 4 2 3 5 2 3" xfId="12854" xr:uid="{76FC00A2-2B6E-4CDD-B5B1-76BA777C0F48}"/>
    <cellStyle name="Normal 5 4 2 3 5 3" xfId="6485" xr:uid="{00000000-0005-0000-0000-0000E71A0000}"/>
    <cellStyle name="Normal 5 4 2 3 5 3 2" xfId="14927" xr:uid="{4E3808F1-2EB7-4053-A2D0-29868B904CB6}"/>
    <cellStyle name="Normal 5 4 2 3 5 4" xfId="10709" xr:uid="{32E6BE53-872E-4399-A888-3458F4BBF1FA}"/>
    <cellStyle name="Normal 5 4 2 3 6" xfId="2614" xr:uid="{00000000-0005-0000-0000-0000E81A0000}"/>
    <cellStyle name="Normal 5 4 2 3 6 2" xfId="6898" xr:uid="{00000000-0005-0000-0000-0000E91A0000}"/>
    <cellStyle name="Normal 5 4 2 3 6 2 2" xfId="15340" xr:uid="{7591AFF0-952F-4AF6-9006-C73538796AD6}"/>
    <cellStyle name="Normal 5 4 2 3 6 3" xfId="11122" xr:uid="{9BC23A36-B4EC-44A0-8E02-FC300944CC57}"/>
    <cellStyle name="Normal 5 4 2 3 7" xfId="4833" xr:uid="{00000000-0005-0000-0000-0000EA1A0000}"/>
    <cellStyle name="Normal 5 4 2 3 7 2" xfId="13275" xr:uid="{AA4F0BCF-BBDA-44F5-85B7-2447EB0918E8}"/>
    <cellStyle name="Normal 5 4 2 3 8" xfId="9057" xr:uid="{36312AB9-5EB0-4547-9A3A-18ADEB463755}"/>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24096624-FC33-4CD6-827D-F3DC1484520A}"/>
    <cellStyle name="Normal 5 4 2 4 2 3" xfId="11612" xr:uid="{72406EBB-F713-4003-8DD0-39C1E187B815}"/>
    <cellStyle name="Normal 5 4 2 4 3" xfId="5243" xr:uid="{00000000-0005-0000-0000-0000EE1A0000}"/>
    <cellStyle name="Normal 5 4 2 4 3 2" xfId="13685" xr:uid="{E1359257-716D-4C88-AC16-7A1A0326AA8D}"/>
    <cellStyle name="Normal 5 4 2 4 4" xfId="9467" xr:uid="{A4C825D6-5C95-42EE-BC74-E81AA2E6CCCA}"/>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976FBC32-B5B7-4ADC-B8C4-1234B37D8F10}"/>
    <cellStyle name="Normal 5 4 2 5 2 3" xfId="12025" xr:uid="{3BBCAAB6-9B5A-4E62-9AE1-2CDF13E9AB2B}"/>
    <cellStyle name="Normal 5 4 2 5 3" xfId="5656" xr:uid="{00000000-0005-0000-0000-0000F21A0000}"/>
    <cellStyle name="Normal 5 4 2 5 3 2" xfId="14098" xr:uid="{292C43C4-85D2-4969-81C5-09A5FF346050}"/>
    <cellStyle name="Normal 5 4 2 5 4" xfId="9880" xr:uid="{914B3944-A8DC-463A-A92F-CD98CA306EB0}"/>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ED9DBF9A-1D1B-4841-B4D3-8C0B482C4D4E}"/>
    <cellStyle name="Normal 5 4 2 6 2 3" xfId="12438" xr:uid="{3A389473-5E01-4BCA-A001-3EFC539E6319}"/>
    <cellStyle name="Normal 5 4 2 6 3" xfId="6069" xr:uid="{00000000-0005-0000-0000-0000F61A0000}"/>
    <cellStyle name="Normal 5 4 2 6 3 2" xfId="14511" xr:uid="{1CBB9143-9AE0-4379-A270-96E8F82E3779}"/>
    <cellStyle name="Normal 5 4 2 6 4" xfId="10293" xr:uid="{2655FCC4-FD1A-4785-A381-AEB1B897C9AF}"/>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55E0140E-E790-4018-AF9D-078911B30AD2}"/>
    <cellStyle name="Normal 5 4 2 7 2 3" xfId="12851" xr:uid="{359C6C36-4070-41F5-8596-BA0559BAD048}"/>
    <cellStyle name="Normal 5 4 2 7 3" xfId="6482" xr:uid="{00000000-0005-0000-0000-0000FA1A0000}"/>
    <cellStyle name="Normal 5 4 2 7 3 2" xfId="14924" xr:uid="{139CB557-3387-4C7F-AE5F-03F34C681C92}"/>
    <cellStyle name="Normal 5 4 2 7 4" xfId="10706" xr:uid="{AE06322E-D25A-4FB0-9294-A3C9DD8199AD}"/>
    <cellStyle name="Normal 5 4 2 8" xfId="2611" xr:uid="{00000000-0005-0000-0000-0000FB1A0000}"/>
    <cellStyle name="Normal 5 4 2 8 2" xfId="6895" xr:uid="{00000000-0005-0000-0000-0000FC1A0000}"/>
    <cellStyle name="Normal 5 4 2 8 2 2" xfId="15337" xr:uid="{3C1F38E0-AD8C-4B73-8D87-4C86B94EF7BD}"/>
    <cellStyle name="Normal 5 4 2 8 3" xfId="11119" xr:uid="{362FCBBF-2949-4843-81A2-05CE14EAD586}"/>
    <cellStyle name="Normal 5 4 2 9" xfId="4830" xr:uid="{00000000-0005-0000-0000-0000FD1A0000}"/>
    <cellStyle name="Normal 5 4 2 9 2" xfId="13272" xr:uid="{16146235-E807-4B11-98A2-8FA42CAFC9CD}"/>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5DB1D9A1-B79C-4013-A09A-E600D67048E8}"/>
    <cellStyle name="Normal 5 4 3 2 2 2 3" xfId="11617" xr:uid="{B8404897-4941-49DD-91C5-CA050079835A}"/>
    <cellStyle name="Normal 5 4 3 2 2 3" xfId="5248" xr:uid="{00000000-0005-0000-0000-0000031B0000}"/>
    <cellStyle name="Normal 5 4 3 2 2 3 2" xfId="13690" xr:uid="{0E815BC3-C238-4988-9906-C22E206DE160}"/>
    <cellStyle name="Normal 5 4 3 2 2 4" xfId="9472" xr:uid="{5B2626FE-816C-4D00-ADE6-A17C91ACCBA9}"/>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6E5216F2-6F7F-4093-ADF0-D32A83D3E270}"/>
    <cellStyle name="Normal 5 4 3 2 3 2 3" xfId="12030" xr:uid="{84985F78-A1A3-4386-927B-E5375C37E984}"/>
    <cellStyle name="Normal 5 4 3 2 3 3" xfId="5661" xr:uid="{00000000-0005-0000-0000-0000071B0000}"/>
    <cellStyle name="Normal 5 4 3 2 3 3 2" xfId="14103" xr:uid="{3EB3FDA7-2750-4087-9982-5D9ED4DF9B13}"/>
    <cellStyle name="Normal 5 4 3 2 3 4" xfId="9885" xr:uid="{BB73942A-6880-48CF-A860-DEC5A4B2E4DF}"/>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9A14E701-0B7C-4AE1-8A2E-C0D45A55EF90}"/>
    <cellStyle name="Normal 5 4 3 2 4 2 3" xfId="12443" xr:uid="{7BE8B3F9-6651-4DF2-A2FF-93CDE95FB734}"/>
    <cellStyle name="Normal 5 4 3 2 4 3" xfId="6074" xr:uid="{00000000-0005-0000-0000-00000B1B0000}"/>
    <cellStyle name="Normal 5 4 3 2 4 3 2" xfId="14516" xr:uid="{FA3DA43D-C37B-461E-87AD-AC69DBE1846D}"/>
    <cellStyle name="Normal 5 4 3 2 4 4" xfId="10298" xr:uid="{907EDBE2-487D-48A2-B586-5B5F1EBF2DB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DC80100-365A-4A3A-898A-E744170CA74A}"/>
    <cellStyle name="Normal 5 4 3 2 5 2 3" xfId="12856" xr:uid="{C7667F52-B761-47DF-84B0-C6B0497A9ACF}"/>
    <cellStyle name="Normal 5 4 3 2 5 3" xfId="6487" xr:uid="{00000000-0005-0000-0000-00000F1B0000}"/>
    <cellStyle name="Normal 5 4 3 2 5 3 2" xfId="14929" xr:uid="{9703F6E5-0E43-4A13-A453-8AF237CD457D}"/>
    <cellStyle name="Normal 5 4 3 2 5 4" xfId="10711" xr:uid="{72750D66-1BBB-4846-A26D-BABE706DF6E0}"/>
    <cellStyle name="Normal 5 4 3 2 6" xfId="2616" xr:uid="{00000000-0005-0000-0000-0000101B0000}"/>
    <cellStyle name="Normal 5 4 3 2 6 2" xfId="6900" xr:uid="{00000000-0005-0000-0000-0000111B0000}"/>
    <cellStyle name="Normal 5 4 3 2 6 2 2" xfId="15342" xr:uid="{32A651C5-00AA-4132-AFE5-64F5F050E4A6}"/>
    <cellStyle name="Normal 5 4 3 2 6 3" xfId="11124" xr:uid="{773ABF06-13CD-4E83-AFDC-CD2695DB617A}"/>
    <cellStyle name="Normal 5 4 3 2 7" xfId="4835" xr:uid="{00000000-0005-0000-0000-0000121B0000}"/>
    <cellStyle name="Normal 5 4 3 2 7 2" xfId="13277" xr:uid="{493AF81F-5964-4411-A1C0-3F0A3ADF7964}"/>
    <cellStyle name="Normal 5 4 3 2 8" xfId="9059" xr:uid="{BF5D4E77-CC3C-4A76-AA5B-6223D0F15D8C}"/>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2AF65DC2-B0F3-478C-A79A-31B8F33DDAC4}"/>
    <cellStyle name="Normal 5 4 3 3 2 3" xfId="11616" xr:uid="{A1A374DB-6F33-4690-975D-341C8E6770EB}"/>
    <cellStyle name="Normal 5 4 3 3 3" xfId="5247" xr:uid="{00000000-0005-0000-0000-0000161B0000}"/>
    <cellStyle name="Normal 5 4 3 3 3 2" xfId="13689" xr:uid="{A15C990C-7D1D-44F3-AFA7-3993C72DA489}"/>
    <cellStyle name="Normal 5 4 3 3 4" xfId="9471" xr:uid="{ADA43019-1C65-4332-B8FB-E6B5C56E760D}"/>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423E2EA1-9661-49E9-8F7B-86239ADC333A}"/>
    <cellStyle name="Normal 5 4 3 4 2 3" xfId="12029" xr:uid="{CFED3173-4C11-4CE5-9D5A-BC54F36DDF1E}"/>
    <cellStyle name="Normal 5 4 3 4 3" xfId="5660" xr:uid="{00000000-0005-0000-0000-00001A1B0000}"/>
    <cellStyle name="Normal 5 4 3 4 3 2" xfId="14102" xr:uid="{D45DCB48-2AF1-4F06-9112-79CD693F5D5F}"/>
    <cellStyle name="Normal 5 4 3 4 4" xfId="9884" xr:uid="{FA21FB74-C116-488D-B78C-B9DC09806E3E}"/>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2BC43D1F-C290-41DF-BF25-4BFAEC2155FD}"/>
    <cellStyle name="Normal 5 4 3 5 2 3" xfId="12442" xr:uid="{693658A9-1DF8-49C9-A6D2-2756D310F21D}"/>
    <cellStyle name="Normal 5 4 3 5 3" xfId="6073" xr:uid="{00000000-0005-0000-0000-00001E1B0000}"/>
    <cellStyle name="Normal 5 4 3 5 3 2" xfId="14515" xr:uid="{E72403B8-AE8F-4CFE-BB99-8DF98058DC5C}"/>
    <cellStyle name="Normal 5 4 3 5 4" xfId="10297" xr:uid="{74FACC06-1F68-4C70-B77B-42143CC3CCBE}"/>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7860EA9F-004D-4885-8409-B59CBA543E73}"/>
    <cellStyle name="Normal 5 4 3 6 2 3" xfId="12855" xr:uid="{B18687FB-963E-4E7A-AE1E-320F3074B88A}"/>
    <cellStyle name="Normal 5 4 3 6 3" xfId="6486" xr:uid="{00000000-0005-0000-0000-0000221B0000}"/>
    <cellStyle name="Normal 5 4 3 6 3 2" xfId="14928" xr:uid="{BCC7DBD2-3982-4EFB-B3D6-656658BF8889}"/>
    <cellStyle name="Normal 5 4 3 6 4" xfId="10710" xr:uid="{BE69FA48-CE76-40CD-A927-0A0FF7AE1F6B}"/>
    <cellStyle name="Normal 5 4 3 7" xfId="2615" xr:uid="{00000000-0005-0000-0000-0000231B0000}"/>
    <cellStyle name="Normal 5 4 3 7 2" xfId="6899" xr:uid="{00000000-0005-0000-0000-0000241B0000}"/>
    <cellStyle name="Normal 5 4 3 7 2 2" xfId="15341" xr:uid="{C469FF60-5B98-4797-88DD-E4CD96DCE028}"/>
    <cellStyle name="Normal 5 4 3 7 3" xfId="11123" xr:uid="{ADA0BCAF-3543-451C-8FE6-1E834C4AC89F}"/>
    <cellStyle name="Normal 5 4 3 8" xfId="4834" xr:uid="{00000000-0005-0000-0000-0000251B0000}"/>
    <cellStyle name="Normal 5 4 3 8 2" xfId="13276" xr:uid="{3ABB8B96-C14F-4006-9C60-793FD8D0EAE9}"/>
    <cellStyle name="Normal 5 4 3 9" xfId="9058" xr:uid="{A5E9D1DE-1E4D-4F39-88D5-AB5AF419542D}"/>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91237F30-76F4-430E-AE29-303C35D64A2B}"/>
    <cellStyle name="Normal 5 4 4 2 2 3" xfId="11618" xr:uid="{1E56EBE8-A2F9-4FF6-A7E5-8BF4290863B5}"/>
    <cellStyle name="Normal 5 4 4 2 3" xfId="5249" xr:uid="{00000000-0005-0000-0000-00002A1B0000}"/>
    <cellStyle name="Normal 5 4 4 2 3 2" xfId="13691" xr:uid="{2AA16B62-5025-4719-94D8-6331EF1CD7A1}"/>
    <cellStyle name="Normal 5 4 4 2 4" xfId="9473" xr:uid="{8B569B64-5FC0-4B39-B4BC-C94B6A0491B9}"/>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C4F56E88-AC5C-4F7E-92BF-69D63797D057}"/>
    <cellStyle name="Normal 5 4 4 3 2 3" xfId="12031" xr:uid="{B4412C9F-C9FE-4317-B6CF-8A5AE4F77F7C}"/>
    <cellStyle name="Normal 5 4 4 3 3" xfId="5662" xr:uid="{00000000-0005-0000-0000-00002E1B0000}"/>
    <cellStyle name="Normal 5 4 4 3 3 2" xfId="14104" xr:uid="{CB7CC5BF-0514-4041-A962-D293E04ECC67}"/>
    <cellStyle name="Normal 5 4 4 3 4" xfId="9886" xr:uid="{6222C1A7-7418-4E01-8145-333FCCFF52B6}"/>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FF2F384B-E637-41A5-908D-3B1AE69A03D8}"/>
    <cellStyle name="Normal 5 4 4 4 2 3" xfId="12444" xr:uid="{98735044-4C2F-4333-AEAB-79FD6D48055B}"/>
    <cellStyle name="Normal 5 4 4 4 3" xfId="6075" xr:uid="{00000000-0005-0000-0000-0000321B0000}"/>
    <cellStyle name="Normal 5 4 4 4 3 2" xfId="14517" xr:uid="{0610793D-BD46-4E1C-B1CC-1AAF060B84BB}"/>
    <cellStyle name="Normal 5 4 4 4 4" xfId="10299" xr:uid="{20009A2E-92F1-4933-9869-21D394F909AD}"/>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36321AF9-CE30-43E3-85A2-9C5F166A5037}"/>
    <cellStyle name="Normal 5 4 4 5 2 3" xfId="12857" xr:uid="{10857814-B8DF-407F-A894-0713A8D58527}"/>
    <cellStyle name="Normal 5 4 4 5 3" xfId="6488" xr:uid="{00000000-0005-0000-0000-0000361B0000}"/>
    <cellStyle name="Normal 5 4 4 5 3 2" xfId="14930" xr:uid="{77E6036C-566E-475A-96CE-C34EBFA3B734}"/>
    <cellStyle name="Normal 5 4 4 5 4" xfId="10712" xr:uid="{1D17D0A3-C3D7-43B7-976F-D9A0EAC063F2}"/>
    <cellStyle name="Normal 5 4 4 6" xfId="2617" xr:uid="{00000000-0005-0000-0000-0000371B0000}"/>
    <cellStyle name="Normal 5 4 4 6 2" xfId="6901" xr:uid="{00000000-0005-0000-0000-0000381B0000}"/>
    <cellStyle name="Normal 5 4 4 6 2 2" xfId="15343" xr:uid="{532BDD7E-67E9-484B-AE63-C75D1B3067D9}"/>
    <cellStyle name="Normal 5 4 4 6 3" xfId="11125" xr:uid="{574DDFAA-44BE-4945-B3C6-0766BBF8EF0A}"/>
    <cellStyle name="Normal 5 4 4 7" xfId="4836" xr:uid="{00000000-0005-0000-0000-0000391B0000}"/>
    <cellStyle name="Normal 5 4 4 7 2" xfId="13278" xr:uid="{03F6434F-2788-44D5-8225-01F9782FFA42}"/>
    <cellStyle name="Normal 5 4 4 8" xfId="9060" xr:uid="{54543C30-043E-4942-880F-8433902C6DE4}"/>
    <cellStyle name="Normal 5 4 5" xfId="930" xr:uid="{00000000-0005-0000-0000-00003A1B0000}"/>
    <cellStyle name="Normal 5 4 5 2" xfId="3164" xr:uid="{00000000-0005-0000-0000-00003B1B0000}"/>
    <cellStyle name="Normal 5 4 5 2 2" xfId="7387" xr:uid="{00000000-0005-0000-0000-00003C1B0000}"/>
    <cellStyle name="Normal 5 4 5 2 2 2" xfId="15829" xr:uid="{36191F3C-AC3F-4F3D-9D2D-BF8220FC6FF2}"/>
    <cellStyle name="Normal 5 4 5 2 3" xfId="11611" xr:uid="{25D1F0CB-42BB-4D4B-8E06-1F1247043F7E}"/>
    <cellStyle name="Normal 5 4 5 3" xfId="5242" xr:uid="{00000000-0005-0000-0000-00003D1B0000}"/>
    <cellStyle name="Normal 5 4 5 3 2" xfId="13684" xr:uid="{F99C3B28-3BEC-45BD-9B9C-30B8522C272A}"/>
    <cellStyle name="Normal 5 4 5 4" xfId="9466" xr:uid="{AF42FEB2-4C2C-445D-B3B3-4B8BF510CC2C}"/>
    <cellStyle name="Normal 5 4 6" xfId="1347" xr:uid="{00000000-0005-0000-0000-00003E1B0000}"/>
    <cellStyle name="Normal 5 4 6 2" xfId="3577" xr:uid="{00000000-0005-0000-0000-00003F1B0000}"/>
    <cellStyle name="Normal 5 4 6 2 2" xfId="7800" xr:uid="{00000000-0005-0000-0000-0000401B0000}"/>
    <cellStyle name="Normal 5 4 6 2 2 2" xfId="16242" xr:uid="{082D2064-D8AB-402B-8B40-5C1797B1B6F9}"/>
    <cellStyle name="Normal 5 4 6 2 3" xfId="12024" xr:uid="{4CE32280-4F9D-442E-9968-AD2F53E34481}"/>
    <cellStyle name="Normal 5 4 6 3" xfId="5655" xr:uid="{00000000-0005-0000-0000-0000411B0000}"/>
    <cellStyle name="Normal 5 4 6 3 2" xfId="14097" xr:uid="{CE48A74E-A534-4DE7-B8C1-4982ACC667FF}"/>
    <cellStyle name="Normal 5 4 6 4" xfId="9879" xr:uid="{9A40B5A9-8979-4397-8930-48BD7FBBDEDB}"/>
    <cellStyle name="Normal 5 4 7" xfId="1760" xr:uid="{00000000-0005-0000-0000-0000421B0000}"/>
    <cellStyle name="Normal 5 4 7 2" xfId="3990" xr:uid="{00000000-0005-0000-0000-0000431B0000}"/>
    <cellStyle name="Normal 5 4 7 2 2" xfId="8213" xr:uid="{00000000-0005-0000-0000-0000441B0000}"/>
    <cellStyle name="Normal 5 4 7 2 2 2" xfId="16655" xr:uid="{5CDD8F47-2ECB-4931-B094-D548F393965B}"/>
    <cellStyle name="Normal 5 4 7 2 3" xfId="12437" xr:uid="{B9877983-D702-4776-BA6B-D0585169E8DE}"/>
    <cellStyle name="Normal 5 4 7 3" xfId="6068" xr:uid="{00000000-0005-0000-0000-0000451B0000}"/>
    <cellStyle name="Normal 5 4 7 3 2" xfId="14510" xr:uid="{B7267FF0-F269-44E0-8EB1-DBA876ACE8CA}"/>
    <cellStyle name="Normal 5 4 7 4" xfId="10292" xr:uid="{8D0A25BD-F20E-47C1-872F-E1C9076FCE27}"/>
    <cellStyle name="Normal 5 4 8" xfId="2174" xr:uid="{00000000-0005-0000-0000-0000461B0000}"/>
    <cellStyle name="Normal 5 4 8 2" xfId="4403" xr:uid="{00000000-0005-0000-0000-0000471B0000}"/>
    <cellStyle name="Normal 5 4 8 2 2" xfId="8626" xr:uid="{00000000-0005-0000-0000-0000481B0000}"/>
    <cellStyle name="Normal 5 4 8 2 2 2" xfId="17068" xr:uid="{C9089C21-36E7-4E33-BFD9-4B1B950F4564}"/>
    <cellStyle name="Normal 5 4 8 2 3" xfId="12850" xr:uid="{F25C7C9D-9D4B-4B67-9EBE-EA7E861C84DF}"/>
    <cellStyle name="Normal 5 4 8 3" xfId="6481" xr:uid="{00000000-0005-0000-0000-0000491B0000}"/>
    <cellStyle name="Normal 5 4 8 3 2" xfId="14923" xr:uid="{4369AAA2-57F5-4C96-B469-9415C696B35C}"/>
    <cellStyle name="Normal 5 4 8 4" xfId="10705" xr:uid="{208E4139-AD18-4489-B283-38DC66DC394B}"/>
    <cellStyle name="Normal 5 4 9" xfId="2610" xr:uid="{00000000-0005-0000-0000-00004A1B0000}"/>
    <cellStyle name="Normal 5 4 9 2" xfId="6894" xr:uid="{00000000-0005-0000-0000-00004B1B0000}"/>
    <cellStyle name="Normal 5 4 9 2 2" xfId="15336" xr:uid="{6A266A64-B7CD-422E-831D-9A1C125123DC}"/>
    <cellStyle name="Normal 5 4 9 3" xfId="11118" xr:uid="{50BF743B-557A-47A5-9DDD-9361DF27B241}"/>
    <cellStyle name="Normal 5 5" xfId="464" xr:uid="{00000000-0005-0000-0000-00004C1B0000}"/>
    <cellStyle name="Normal 5 5 10" xfId="9061" xr:uid="{6A991A1C-8E11-4408-A881-45618CABC413}"/>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1A3F7DE7-58C4-468F-83EE-BF47DCD04685}"/>
    <cellStyle name="Normal 5 5 2 2 2 2 3" xfId="11621" xr:uid="{7B6D42A5-A0FD-44A0-BA9F-B423A7CFC477}"/>
    <cellStyle name="Normal 5 5 2 2 2 3" xfId="5252" xr:uid="{00000000-0005-0000-0000-0000521B0000}"/>
    <cellStyle name="Normal 5 5 2 2 2 3 2" xfId="13694" xr:uid="{E8892C7A-FF47-4C62-8F6D-B570F8BD0D2D}"/>
    <cellStyle name="Normal 5 5 2 2 2 4" xfId="9476" xr:uid="{4EB39FD0-2E0C-4DAC-922E-B8B0E48B1383}"/>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9B555992-36EB-401E-89F7-25B2F8DB55DA}"/>
    <cellStyle name="Normal 5 5 2 2 3 2 3" xfId="12034" xr:uid="{D64E8047-7AD8-4D5A-BA4D-1C90717D8C24}"/>
    <cellStyle name="Normal 5 5 2 2 3 3" xfId="5665" xr:uid="{00000000-0005-0000-0000-0000561B0000}"/>
    <cellStyle name="Normal 5 5 2 2 3 3 2" xfId="14107" xr:uid="{7FB98917-62FA-4488-B4C2-EF0BC53DAC5E}"/>
    <cellStyle name="Normal 5 5 2 2 3 4" xfId="9889" xr:uid="{0B93408C-D45F-45DE-BAAD-3CAFC5CEDF5C}"/>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7B3D16B0-1E8A-42E3-A4A1-88CEA918B8FE}"/>
    <cellStyle name="Normal 5 5 2 2 4 2 3" xfId="12447" xr:uid="{8F79F436-40D8-4388-96D9-9BB45A9FCAC7}"/>
    <cellStyle name="Normal 5 5 2 2 4 3" xfId="6078" xr:uid="{00000000-0005-0000-0000-00005A1B0000}"/>
    <cellStyle name="Normal 5 5 2 2 4 3 2" xfId="14520" xr:uid="{CADC2814-8D67-4572-B353-FDAD1FFF9DC3}"/>
    <cellStyle name="Normal 5 5 2 2 4 4" xfId="10302" xr:uid="{9EC9F96B-D003-4DF7-AC4F-F07BDCB4910B}"/>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7F8AABE1-A224-4326-8B06-0F379749AD47}"/>
    <cellStyle name="Normal 5 5 2 2 5 2 3" xfId="12860" xr:uid="{2F40F892-9B0F-4422-9F87-DA419DA278A0}"/>
    <cellStyle name="Normal 5 5 2 2 5 3" xfId="6491" xr:uid="{00000000-0005-0000-0000-00005E1B0000}"/>
    <cellStyle name="Normal 5 5 2 2 5 3 2" xfId="14933" xr:uid="{4C4D714C-7044-4EEA-8EAC-00448F212288}"/>
    <cellStyle name="Normal 5 5 2 2 5 4" xfId="10715" xr:uid="{6990D024-5067-4AE6-8B28-5F3A63892285}"/>
    <cellStyle name="Normal 5 5 2 2 6" xfId="2620" xr:uid="{00000000-0005-0000-0000-00005F1B0000}"/>
    <cellStyle name="Normal 5 5 2 2 6 2" xfId="6904" xr:uid="{00000000-0005-0000-0000-0000601B0000}"/>
    <cellStyle name="Normal 5 5 2 2 6 2 2" xfId="15346" xr:uid="{3B09BE27-711E-4ED3-9DB9-D798D7699F23}"/>
    <cellStyle name="Normal 5 5 2 2 6 3" xfId="11128" xr:uid="{12741E86-4122-4A7D-A2BB-700E81C7BE3C}"/>
    <cellStyle name="Normal 5 5 2 2 7" xfId="4839" xr:uid="{00000000-0005-0000-0000-0000611B0000}"/>
    <cellStyle name="Normal 5 5 2 2 7 2" xfId="13281" xr:uid="{02BEC1C9-ED1D-490A-A216-9955D29EC03A}"/>
    <cellStyle name="Normal 5 5 2 2 8" xfId="9063" xr:uid="{2B76A030-DE91-45CB-A7D5-0422DD650EA2}"/>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57BAFFC3-3B07-4DCB-922F-8A601D21AD1E}"/>
    <cellStyle name="Normal 5 5 2 3 2 3" xfId="11620" xr:uid="{9FCDEEFA-A16C-4377-8C78-D33D04E92910}"/>
    <cellStyle name="Normal 5 5 2 3 3" xfId="5251" xr:uid="{00000000-0005-0000-0000-0000651B0000}"/>
    <cellStyle name="Normal 5 5 2 3 3 2" xfId="13693" xr:uid="{B12A8AE8-7BF1-4A5A-B1F3-58483AC2CFC6}"/>
    <cellStyle name="Normal 5 5 2 3 4" xfId="9475" xr:uid="{FAD356BC-93DF-43BF-998A-C479A14EA0E1}"/>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9C2E593E-1D0C-4D32-8292-E305A792B9CE}"/>
    <cellStyle name="Normal 5 5 2 4 2 3" xfId="12033" xr:uid="{283EE9E9-7BE8-44ED-A386-04DEA20373BA}"/>
    <cellStyle name="Normal 5 5 2 4 3" xfId="5664" xr:uid="{00000000-0005-0000-0000-0000691B0000}"/>
    <cellStyle name="Normal 5 5 2 4 3 2" xfId="14106" xr:uid="{956B7F2C-B62A-4A75-B0C4-0E078AA808F1}"/>
    <cellStyle name="Normal 5 5 2 4 4" xfId="9888" xr:uid="{82B1C707-1E4E-4D20-A3AD-E660B486C28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E84B365F-0D7F-4376-883C-51ED4533EDCE}"/>
    <cellStyle name="Normal 5 5 2 5 2 3" xfId="12446" xr:uid="{0D0574CD-23E6-4F4E-B0C4-D337666A9477}"/>
    <cellStyle name="Normal 5 5 2 5 3" xfId="6077" xr:uid="{00000000-0005-0000-0000-00006D1B0000}"/>
    <cellStyle name="Normal 5 5 2 5 3 2" xfId="14519" xr:uid="{CD8BAFAB-0735-4245-935A-67DCD827C350}"/>
    <cellStyle name="Normal 5 5 2 5 4" xfId="10301" xr:uid="{8F329C44-25C4-470A-BC15-0FEE8885D112}"/>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82CDD5F4-9443-471B-BAD3-23045E691738}"/>
    <cellStyle name="Normal 5 5 2 6 2 3" xfId="12859" xr:uid="{F9E44036-234A-457B-B8C9-49E432BCCD04}"/>
    <cellStyle name="Normal 5 5 2 6 3" xfId="6490" xr:uid="{00000000-0005-0000-0000-0000711B0000}"/>
    <cellStyle name="Normal 5 5 2 6 3 2" xfId="14932" xr:uid="{DCD7126D-E4A5-4355-86F7-9752BC32F86C}"/>
    <cellStyle name="Normal 5 5 2 6 4" xfId="10714" xr:uid="{3E161853-92CF-4E48-8DE9-20EAA9F89213}"/>
    <cellStyle name="Normal 5 5 2 7" xfId="2619" xr:uid="{00000000-0005-0000-0000-0000721B0000}"/>
    <cellStyle name="Normal 5 5 2 7 2" xfId="6903" xr:uid="{00000000-0005-0000-0000-0000731B0000}"/>
    <cellStyle name="Normal 5 5 2 7 2 2" xfId="15345" xr:uid="{1EE79982-33C8-4550-97D8-1D61CB0C4B8C}"/>
    <cellStyle name="Normal 5 5 2 7 3" xfId="11127" xr:uid="{C32EDFD0-0F04-48A6-A807-20A168D2A55F}"/>
    <cellStyle name="Normal 5 5 2 8" xfId="4838" xr:uid="{00000000-0005-0000-0000-0000741B0000}"/>
    <cellStyle name="Normal 5 5 2 8 2" xfId="13280" xr:uid="{87E7FDA8-68AC-4ACD-809B-52B3799E31E0}"/>
    <cellStyle name="Normal 5 5 2 9" xfId="9062" xr:uid="{33326F1C-7250-440D-BCC4-280B5BD4003F}"/>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7FBEDEBC-6CB5-44B4-88A4-0FC918860B57}"/>
    <cellStyle name="Normal 5 5 3 2 2 3" xfId="11622" xr:uid="{5177E92D-D6CA-414C-851A-15A1571D607A}"/>
    <cellStyle name="Normal 5 5 3 2 3" xfId="5253" xr:uid="{00000000-0005-0000-0000-0000791B0000}"/>
    <cellStyle name="Normal 5 5 3 2 3 2" xfId="13695" xr:uid="{23F503A3-90AE-4551-8F9F-E778C81C195F}"/>
    <cellStyle name="Normal 5 5 3 2 4" xfId="9477" xr:uid="{65C8C1D5-912D-4E23-BDD5-2FA053046D9B}"/>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BB60B91-8174-4556-86C4-727BD2B475A7}"/>
    <cellStyle name="Normal 5 5 3 3 2 3" xfId="12035" xr:uid="{5840352F-70C8-433F-A10B-1CD3D9DC2627}"/>
    <cellStyle name="Normal 5 5 3 3 3" xfId="5666" xr:uid="{00000000-0005-0000-0000-00007D1B0000}"/>
    <cellStyle name="Normal 5 5 3 3 3 2" xfId="14108" xr:uid="{E12AEB14-4888-4E54-9CC3-9086FE5F1CDD}"/>
    <cellStyle name="Normal 5 5 3 3 4" xfId="9890" xr:uid="{1130598E-500B-4A0C-AC86-3FA10F33DCF9}"/>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2EA9186A-3239-43D2-8D17-DEA7DA634395}"/>
    <cellStyle name="Normal 5 5 3 4 2 3" xfId="12448" xr:uid="{B3DE91F8-DCD6-48E8-88E4-C4852FA2F449}"/>
    <cellStyle name="Normal 5 5 3 4 3" xfId="6079" xr:uid="{00000000-0005-0000-0000-0000811B0000}"/>
    <cellStyle name="Normal 5 5 3 4 3 2" xfId="14521" xr:uid="{BBE96D70-0907-41F5-BF47-FE28AB9F7C89}"/>
    <cellStyle name="Normal 5 5 3 4 4" xfId="10303" xr:uid="{3B6C07D7-7FC9-43DA-BF09-F6194C58AAAE}"/>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864FB232-C954-4785-8DB8-6609F97B9989}"/>
    <cellStyle name="Normal 5 5 3 5 2 3" xfId="12861" xr:uid="{3A332723-347E-4D5D-A79D-19479389435F}"/>
    <cellStyle name="Normal 5 5 3 5 3" xfId="6492" xr:uid="{00000000-0005-0000-0000-0000851B0000}"/>
    <cellStyle name="Normal 5 5 3 5 3 2" xfId="14934" xr:uid="{5980E783-B8CF-42EE-AE44-B9580B3F9655}"/>
    <cellStyle name="Normal 5 5 3 5 4" xfId="10716" xr:uid="{437ED420-205F-4E6E-9CC5-6247862414DC}"/>
    <cellStyle name="Normal 5 5 3 6" xfId="2621" xr:uid="{00000000-0005-0000-0000-0000861B0000}"/>
    <cellStyle name="Normal 5 5 3 6 2" xfId="6905" xr:uid="{00000000-0005-0000-0000-0000871B0000}"/>
    <cellStyle name="Normal 5 5 3 6 2 2" xfId="15347" xr:uid="{2F695C58-648A-477A-8803-6BF25E4BEE08}"/>
    <cellStyle name="Normal 5 5 3 6 3" xfId="11129" xr:uid="{3C66ACD9-7A2A-49EC-93A3-82A1F3595D27}"/>
    <cellStyle name="Normal 5 5 3 7" xfId="4840" xr:uid="{00000000-0005-0000-0000-0000881B0000}"/>
    <cellStyle name="Normal 5 5 3 7 2" xfId="13282" xr:uid="{42240B92-0549-4FF9-9510-88F13FCF4C91}"/>
    <cellStyle name="Normal 5 5 3 8" xfId="9064" xr:uid="{BCA45290-6694-46F4-B654-988FB747FE90}"/>
    <cellStyle name="Normal 5 5 4" xfId="938" xr:uid="{00000000-0005-0000-0000-0000891B0000}"/>
    <cellStyle name="Normal 5 5 4 2" xfId="3172" xr:uid="{00000000-0005-0000-0000-00008A1B0000}"/>
    <cellStyle name="Normal 5 5 4 2 2" xfId="7395" xr:uid="{00000000-0005-0000-0000-00008B1B0000}"/>
    <cellStyle name="Normal 5 5 4 2 2 2" xfId="15837" xr:uid="{4453B4BA-0D05-4406-9B92-84C201B830C3}"/>
    <cellStyle name="Normal 5 5 4 2 3" xfId="11619" xr:uid="{09BF0F0D-BB48-4C61-95F8-3D201AB327AE}"/>
    <cellStyle name="Normal 5 5 4 3" xfId="5250" xr:uid="{00000000-0005-0000-0000-00008C1B0000}"/>
    <cellStyle name="Normal 5 5 4 3 2" xfId="13692" xr:uid="{4E779458-7889-403A-96D8-0B57681CC51F}"/>
    <cellStyle name="Normal 5 5 4 4" xfId="9474" xr:uid="{B326A7E2-4924-489B-82EC-64CC0A80AEE2}"/>
    <cellStyle name="Normal 5 5 5" xfId="1355" xr:uid="{00000000-0005-0000-0000-00008D1B0000}"/>
    <cellStyle name="Normal 5 5 5 2" xfId="3585" xr:uid="{00000000-0005-0000-0000-00008E1B0000}"/>
    <cellStyle name="Normal 5 5 5 2 2" xfId="7808" xr:uid="{00000000-0005-0000-0000-00008F1B0000}"/>
    <cellStyle name="Normal 5 5 5 2 2 2" xfId="16250" xr:uid="{73557220-9F69-4642-98B6-90F9B902E969}"/>
    <cellStyle name="Normal 5 5 5 2 3" xfId="12032" xr:uid="{3C75FE36-68B2-472F-9319-8E36B086D5DB}"/>
    <cellStyle name="Normal 5 5 5 3" xfId="5663" xr:uid="{00000000-0005-0000-0000-0000901B0000}"/>
    <cellStyle name="Normal 5 5 5 3 2" xfId="14105" xr:uid="{4BD8C441-81F5-46AD-ACBA-1E8B7EB4B722}"/>
    <cellStyle name="Normal 5 5 5 4" xfId="9887" xr:uid="{36200D0A-60F2-4B49-93BA-D4C5C6856BC7}"/>
    <cellStyle name="Normal 5 5 6" xfId="1768" xr:uid="{00000000-0005-0000-0000-0000911B0000}"/>
    <cellStyle name="Normal 5 5 6 2" xfId="3998" xr:uid="{00000000-0005-0000-0000-0000921B0000}"/>
    <cellStyle name="Normal 5 5 6 2 2" xfId="8221" xr:uid="{00000000-0005-0000-0000-0000931B0000}"/>
    <cellStyle name="Normal 5 5 6 2 2 2" xfId="16663" xr:uid="{125EE063-144E-449A-AFA3-0F91C4973C08}"/>
    <cellStyle name="Normal 5 5 6 2 3" xfId="12445" xr:uid="{9D72811E-3D2D-4666-88D5-453FF03112E8}"/>
    <cellStyle name="Normal 5 5 6 3" xfId="6076" xr:uid="{00000000-0005-0000-0000-0000941B0000}"/>
    <cellStyle name="Normal 5 5 6 3 2" xfId="14518" xr:uid="{CCE77AC5-1495-40C7-B21E-0AE5F10CAA93}"/>
    <cellStyle name="Normal 5 5 6 4" xfId="10300" xr:uid="{49B3C25D-B838-4B39-BE38-2539A240735E}"/>
    <cellStyle name="Normal 5 5 7" xfId="2182" xr:uid="{00000000-0005-0000-0000-0000951B0000}"/>
    <cellStyle name="Normal 5 5 7 2" xfId="4411" xr:uid="{00000000-0005-0000-0000-0000961B0000}"/>
    <cellStyle name="Normal 5 5 7 2 2" xfId="8634" xr:uid="{00000000-0005-0000-0000-0000971B0000}"/>
    <cellStyle name="Normal 5 5 7 2 2 2" xfId="17076" xr:uid="{F026B7A3-B364-4B34-B561-3683C3C40A54}"/>
    <cellStyle name="Normal 5 5 7 2 3" xfId="12858" xr:uid="{E1B6A228-DDD7-4898-B329-37F2F082D146}"/>
    <cellStyle name="Normal 5 5 7 3" xfId="6489" xr:uid="{00000000-0005-0000-0000-0000981B0000}"/>
    <cellStyle name="Normal 5 5 7 3 2" xfId="14931" xr:uid="{111DF44A-B20A-4895-8098-23AE9AF2D471}"/>
    <cellStyle name="Normal 5 5 7 4" xfId="10713" xr:uid="{8312ABF0-B824-4FE6-B4E8-8D21777E7C24}"/>
    <cellStyle name="Normal 5 5 8" xfId="2618" xr:uid="{00000000-0005-0000-0000-0000991B0000}"/>
    <cellStyle name="Normal 5 5 8 2" xfId="6902" xr:uid="{00000000-0005-0000-0000-00009A1B0000}"/>
    <cellStyle name="Normal 5 5 8 2 2" xfId="15344" xr:uid="{CCA3ADF9-AE5F-4E3F-8303-ED7240A1F099}"/>
    <cellStyle name="Normal 5 5 8 3" xfId="11126" xr:uid="{88CA635C-62B9-43E7-8BD2-A2E096029178}"/>
    <cellStyle name="Normal 5 5 9" xfId="4837" xr:uid="{00000000-0005-0000-0000-00009B1B0000}"/>
    <cellStyle name="Normal 5 5 9 2" xfId="13279" xr:uid="{57D04377-885E-4F9B-9357-F8ACCA5FB069}"/>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CF554832-EE47-4D32-B395-F7E77CBEE90B}"/>
    <cellStyle name="Normal 5 6 2 2 2 3" xfId="11624" xr:uid="{46CECCF7-E73B-40CC-A7FD-B54A6DF39797}"/>
    <cellStyle name="Normal 5 6 2 2 3" xfId="5255" xr:uid="{00000000-0005-0000-0000-0000A11B0000}"/>
    <cellStyle name="Normal 5 6 2 2 3 2" xfId="13697" xr:uid="{2A61A44D-50E7-4651-9E2E-3D163A30959E}"/>
    <cellStyle name="Normal 5 6 2 2 4" xfId="9479" xr:uid="{A76A0E83-3016-4A3E-93EE-AADF189EA901}"/>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5484A294-D63D-48D2-9D06-8452684DCF25}"/>
    <cellStyle name="Normal 5 6 2 3 2 3" xfId="12037" xr:uid="{2DC8DD2C-0D60-45A2-9E51-6FBEDA5F18F8}"/>
    <cellStyle name="Normal 5 6 2 3 3" xfId="5668" xr:uid="{00000000-0005-0000-0000-0000A51B0000}"/>
    <cellStyle name="Normal 5 6 2 3 3 2" xfId="14110" xr:uid="{B464C02A-0264-4B9D-87EA-D837D492E47E}"/>
    <cellStyle name="Normal 5 6 2 3 4" xfId="9892" xr:uid="{A3CD1F9A-45C6-43A7-AEB2-E942978A6054}"/>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11918AD-6424-482A-A499-C7B016010990}"/>
    <cellStyle name="Normal 5 6 2 4 2 3" xfId="12450" xr:uid="{D569256E-A3A4-474E-B2EC-BD5CE7B05884}"/>
    <cellStyle name="Normal 5 6 2 4 3" xfId="6081" xr:uid="{00000000-0005-0000-0000-0000A91B0000}"/>
    <cellStyle name="Normal 5 6 2 4 3 2" xfId="14523" xr:uid="{03396CD8-6F70-4544-8E79-A685E393F3BC}"/>
    <cellStyle name="Normal 5 6 2 4 4" xfId="10305" xr:uid="{9D86F31C-742C-4EA3-90CC-A8A86850F996}"/>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F97B95E4-0B76-49E9-8E8E-1E0433DEF859}"/>
    <cellStyle name="Normal 5 6 2 5 2 3" xfId="12863" xr:uid="{8AB8AD2C-9745-400E-993F-655149C1DF78}"/>
    <cellStyle name="Normal 5 6 2 5 3" xfId="6494" xr:uid="{00000000-0005-0000-0000-0000AD1B0000}"/>
    <cellStyle name="Normal 5 6 2 5 3 2" xfId="14936" xr:uid="{6AEED1DC-95BB-4C24-BA23-F908B3E254DA}"/>
    <cellStyle name="Normal 5 6 2 5 4" xfId="10718" xr:uid="{8B5A734D-4860-49BD-90C0-84E661A31832}"/>
    <cellStyle name="Normal 5 6 2 6" xfId="2623" xr:uid="{00000000-0005-0000-0000-0000AE1B0000}"/>
    <cellStyle name="Normal 5 6 2 6 2" xfId="6907" xr:uid="{00000000-0005-0000-0000-0000AF1B0000}"/>
    <cellStyle name="Normal 5 6 2 6 2 2" xfId="15349" xr:uid="{9E9088C4-7F48-4DB9-8676-BEDE76F82320}"/>
    <cellStyle name="Normal 5 6 2 6 3" xfId="11131" xr:uid="{9A50E67A-9F37-4584-9217-69B348C495E8}"/>
    <cellStyle name="Normal 5 6 2 7" xfId="4842" xr:uid="{00000000-0005-0000-0000-0000B01B0000}"/>
    <cellStyle name="Normal 5 6 2 7 2" xfId="13284" xr:uid="{3B1F4356-E734-46D5-9D19-9AD789E5C998}"/>
    <cellStyle name="Normal 5 6 2 8" xfId="9066" xr:uid="{02760237-5951-4364-AF5D-8CCEF583F894}"/>
    <cellStyle name="Normal 5 6 3" xfId="942" xr:uid="{00000000-0005-0000-0000-0000B11B0000}"/>
    <cellStyle name="Normal 5 6 3 2" xfId="3176" xr:uid="{00000000-0005-0000-0000-0000B21B0000}"/>
    <cellStyle name="Normal 5 6 3 2 2" xfId="7399" xr:uid="{00000000-0005-0000-0000-0000B31B0000}"/>
    <cellStyle name="Normal 5 6 3 2 2 2" xfId="15841" xr:uid="{C15322B3-8F33-45FB-AFF3-BA3108CB20A8}"/>
    <cellStyle name="Normal 5 6 3 2 3" xfId="11623" xr:uid="{D0C96787-2B01-466D-AD11-509ADBD109AB}"/>
    <cellStyle name="Normal 5 6 3 3" xfId="5254" xr:uid="{00000000-0005-0000-0000-0000B41B0000}"/>
    <cellStyle name="Normal 5 6 3 3 2" xfId="13696" xr:uid="{E94E356B-DAED-4C86-937B-9406FDFAF46D}"/>
    <cellStyle name="Normal 5 6 3 4" xfId="9478" xr:uid="{EC4EAD5A-0393-42BC-AD6F-DDF3DF2B966A}"/>
    <cellStyle name="Normal 5 6 4" xfId="1359" xr:uid="{00000000-0005-0000-0000-0000B51B0000}"/>
    <cellStyle name="Normal 5 6 4 2" xfId="3589" xr:uid="{00000000-0005-0000-0000-0000B61B0000}"/>
    <cellStyle name="Normal 5 6 4 2 2" xfId="7812" xr:uid="{00000000-0005-0000-0000-0000B71B0000}"/>
    <cellStyle name="Normal 5 6 4 2 2 2" xfId="16254" xr:uid="{12ACCA3F-5B4C-4FA4-BC52-AC306E4BC803}"/>
    <cellStyle name="Normal 5 6 4 2 3" xfId="12036" xr:uid="{88DDD74D-E903-4FC1-A296-2808696C8F77}"/>
    <cellStyle name="Normal 5 6 4 3" xfId="5667" xr:uid="{00000000-0005-0000-0000-0000B81B0000}"/>
    <cellStyle name="Normal 5 6 4 3 2" xfId="14109" xr:uid="{5F253A73-9F96-4CCB-A24A-14C6F3F16D9A}"/>
    <cellStyle name="Normal 5 6 4 4" xfId="9891" xr:uid="{7163372B-5783-4FFC-9C16-2BD60D0C6106}"/>
    <cellStyle name="Normal 5 6 5" xfId="1772" xr:uid="{00000000-0005-0000-0000-0000B91B0000}"/>
    <cellStyle name="Normal 5 6 5 2" xfId="4002" xr:uid="{00000000-0005-0000-0000-0000BA1B0000}"/>
    <cellStyle name="Normal 5 6 5 2 2" xfId="8225" xr:uid="{00000000-0005-0000-0000-0000BB1B0000}"/>
    <cellStyle name="Normal 5 6 5 2 2 2" xfId="16667" xr:uid="{9998ABA8-E20A-4E1D-A96B-59EC4F7C793E}"/>
    <cellStyle name="Normal 5 6 5 2 3" xfId="12449" xr:uid="{BD729641-9A53-449D-92C2-5B0FF8F42BFE}"/>
    <cellStyle name="Normal 5 6 5 3" xfId="6080" xr:uid="{00000000-0005-0000-0000-0000BC1B0000}"/>
    <cellStyle name="Normal 5 6 5 3 2" xfId="14522" xr:uid="{B6AFE29E-BD34-4CC6-92C1-2B71AA1F8A47}"/>
    <cellStyle name="Normal 5 6 5 4" xfId="10304" xr:uid="{E3E01EA5-AE53-46B7-860D-5145C6418F83}"/>
    <cellStyle name="Normal 5 6 6" xfId="2186" xr:uid="{00000000-0005-0000-0000-0000BD1B0000}"/>
    <cellStyle name="Normal 5 6 6 2" xfId="4415" xr:uid="{00000000-0005-0000-0000-0000BE1B0000}"/>
    <cellStyle name="Normal 5 6 6 2 2" xfId="8638" xr:uid="{00000000-0005-0000-0000-0000BF1B0000}"/>
    <cellStyle name="Normal 5 6 6 2 2 2" xfId="17080" xr:uid="{468F3FCF-4312-41A1-AE8F-BC95ED26AB34}"/>
    <cellStyle name="Normal 5 6 6 2 3" xfId="12862" xr:uid="{B837E79B-F887-4D59-865D-86B6BF67D78F}"/>
    <cellStyle name="Normal 5 6 6 3" xfId="6493" xr:uid="{00000000-0005-0000-0000-0000C01B0000}"/>
    <cellStyle name="Normal 5 6 6 3 2" xfId="14935" xr:uid="{ED545D20-E1C8-429E-9A1F-5CFCE54F2B88}"/>
    <cellStyle name="Normal 5 6 6 4" xfId="10717" xr:uid="{22A6F675-0B15-46E5-8D1C-07F6C60D197E}"/>
    <cellStyle name="Normal 5 6 7" xfId="2622" xr:uid="{00000000-0005-0000-0000-0000C11B0000}"/>
    <cellStyle name="Normal 5 6 7 2" xfId="6906" xr:uid="{00000000-0005-0000-0000-0000C21B0000}"/>
    <cellStyle name="Normal 5 6 7 2 2" xfId="15348" xr:uid="{10C5CCB6-F547-4248-9B94-DA423B68513E}"/>
    <cellStyle name="Normal 5 6 7 3" xfId="11130" xr:uid="{53D210E7-A329-46F8-AAE7-FEE7FB71F61B}"/>
    <cellStyle name="Normal 5 6 8" xfId="4841" xr:uid="{00000000-0005-0000-0000-0000C31B0000}"/>
    <cellStyle name="Normal 5 6 8 2" xfId="13283" xr:uid="{1F4BE685-F0FF-494A-A76A-33310C1FF8F4}"/>
    <cellStyle name="Normal 5 6 9" xfId="9065" xr:uid="{D92DDB0A-5EBE-40FF-9706-D7B5C68972C2}"/>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771A884C-A7CA-4F37-BE11-2ACA2437CD2C}"/>
    <cellStyle name="Normal 5 7 2 2 3" xfId="11625" xr:uid="{6554112C-EA3F-4AB3-9806-F0411D1B811A}"/>
    <cellStyle name="Normal 5 7 2 3" xfId="5256" xr:uid="{00000000-0005-0000-0000-0000C81B0000}"/>
    <cellStyle name="Normal 5 7 2 3 2" xfId="13698" xr:uid="{7A189E67-A05A-4503-B263-F16C630C8A73}"/>
    <cellStyle name="Normal 5 7 2 4" xfId="9480" xr:uid="{03B7B692-7B29-4995-A737-CCA02B819231}"/>
    <cellStyle name="Normal 5 7 3" xfId="1361" xr:uid="{00000000-0005-0000-0000-0000C91B0000}"/>
    <cellStyle name="Normal 5 7 3 2" xfId="3591" xr:uid="{00000000-0005-0000-0000-0000CA1B0000}"/>
    <cellStyle name="Normal 5 7 3 2 2" xfId="7814" xr:uid="{00000000-0005-0000-0000-0000CB1B0000}"/>
    <cellStyle name="Normal 5 7 3 2 2 2" xfId="16256" xr:uid="{C02EC378-303D-446F-B717-4203092C2ADC}"/>
    <cellStyle name="Normal 5 7 3 2 3" xfId="12038" xr:uid="{B37AE562-5735-4987-8691-57EB988866F9}"/>
    <cellStyle name="Normal 5 7 3 3" xfId="5669" xr:uid="{00000000-0005-0000-0000-0000CC1B0000}"/>
    <cellStyle name="Normal 5 7 3 3 2" xfId="14111" xr:uid="{50D08F41-7C83-4DD5-B56D-4E75B273E973}"/>
    <cellStyle name="Normal 5 7 3 4" xfId="9893" xr:uid="{3ED26D98-3AFB-4F13-9FB1-D7A0C996FE8F}"/>
    <cellStyle name="Normal 5 7 4" xfId="1774" xr:uid="{00000000-0005-0000-0000-0000CD1B0000}"/>
    <cellStyle name="Normal 5 7 4 2" xfId="4004" xr:uid="{00000000-0005-0000-0000-0000CE1B0000}"/>
    <cellStyle name="Normal 5 7 4 2 2" xfId="8227" xr:uid="{00000000-0005-0000-0000-0000CF1B0000}"/>
    <cellStyle name="Normal 5 7 4 2 2 2" xfId="16669" xr:uid="{D3C5D8C7-EC2E-411A-BE4B-2B342A1A52FD}"/>
    <cellStyle name="Normal 5 7 4 2 3" xfId="12451" xr:uid="{240C6C67-38F7-46DB-8F71-F3A4E15301D0}"/>
    <cellStyle name="Normal 5 7 4 3" xfId="6082" xr:uid="{00000000-0005-0000-0000-0000D01B0000}"/>
    <cellStyle name="Normal 5 7 4 3 2" xfId="14524" xr:uid="{E60267DD-9766-4EC7-8D0D-5880EECBD705}"/>
    <cellStyle name="Normal 5 7 4 4" xfId="10306" xr:uid="{C8AB2E94-905E-4813-87DD-BA1475A83493}"/>
    <cellStyle name="Normal 5 7 5" xfId="2188" xr:uid="{00000000-0005-0000-0000-0000D11B0000}"/>
    <cellStyle name="Normal 5 7 5 2" xfId="4417" xr:uid="{00000000-0005-0000-0000-0000D21B0000}"/>
    <cellStyle name="Normal 5 7 5 2 2" xfId="8640" xr:uid="{00000000-0005-0000-0000-0000D31B0000}"/>
    <cellStyle name="Normal 5 7 5 2 2 2" xfId="17082" xr:uid="{CBAE9192-57FE-4C75-8416-3F855A043C17}"/>
    <cellStyle name="Normal 5 7 5 2 3" xfId="12864" xr:uid="{F9E765DC-63B2-439A-B3FA-1F047935C93A}"/>
    <cellStyle name="Normal 5 7 5 3" xfId="6495" xr:uid="{00000000-0005-0000-0000-0000D41B0000}"/>
    <cellStyle name="Normal 5 7 5 3 2" xfId="14937" xr:uid="{A9C4F30B-3ABE-4C3D-B45E-170DFADB03AB}"/>
    <cellStyle name="Normal 5 7 5 4" xfId="10719" xr:uid="{C7F5E993-207C-457E-8E96-AC42D02B53F5}"/>
    <cellStyle name="Normal 5 7 6" xfId="2624" xr:uid="{00000000-0005-0000-0000-0000D51B0000}"/>
    <cellStyle name="Normal 5 7 6 2" xfId="6908" xr:uid="{00000000-0005-0000-0000-0000D61B0000}"/>
    <cellStyle name="Normal 5 7 6 2 2" xfId="15350" xr:uid="{C26A78B5-72EE-419B-AE95-113FB5927AA8}"/>
    <cellStyle name="Normal 5 7 6 3" xfId="11132" xr:uid="{51D14E4A-F436-4474-B5EB-115765EE74A2}"/>
    <cellStyle name="Normal 5 7 7" xfId="4843" xr:uid="{00000000-0005-0000-0000-0000D71B0000}"/>
    <cellStyle name="Normal 5 7 7 2" xfId="13285" xr:uid="{0F971198-A887-4550-A75E-E92CDA014BE9}"/>
    <cellStyle name="Normal 5 7 8" xfId="9067" xr:uid="{8B1AA49A-FA63-4269-8479-16558A4D863D}"/>
    <cellStyle name="Normal 5 8" xfId="880" xr:uid="{00000000-0005-0000-0000-0000D81B0000}"/>
    <cellStyle name="Normal 5 8 2" xfId="3115" xr:uid="{00000000-0005-0000-0000-0000D91B0000}"/>
    <cellStyle name="Normal 5 8 2 2" xfId="7338" xr:uid="{00000000-0005-0000-0000-0000DA1B0000}"/>
    <cellStyle name="Normal 5 8 2 2 2" xfId="15780" xr:uid="{6FA8E4B5-8715-4AAA-92BD-18C26A8BD716}"/>
    <cellStyle name="Normal 5 8 2 3" xfId="11562" xr:uid="{23AD9489-9D7C-4B3D-A425-4D7A4E12273C}"/>
    <cellStyle name="Normal 5 8 3" xfId="5193" xr:uid="{00000000-0005-0000-0000-0000DB1B0000}"/>
    <cellStyle name="Normal 5 8 3 2" xfId="13635" xr:uid="{478B2ED4-0AA9-40C8-8877-A8DA87913A75}"/>
    <cellStyle name="Normal 5 8 4" xfId="9417" xr:uid="{BDBF00CA-0525-446D-894F-6EEF70071290}"/>
    <cellStyle name="Normal 5 9" xfId="1298" xr:uid="{00000000-0005-0000-0000-0000DC1B0000}"/>
    <cellStyle name="Normal 5 9 2" xfId="3528" xr:uid="{00000000-0005-0000-0000-0000DD1B0000}"/>
    <cellStyle name="Normal 5 9 2 2" xfId="7751" xr:uid="{00000000-0005-0000-0000-0000DE1B0000}"/>
    <cellStyle name="Normal 5 9 2 2 2" xfId="16193" xr:uid="{23744FCD-4A5D-4201-9CEF-434914ADA946}"/>
    <cellStyle name="Normal 5 9 2 3" xfId="11975" xr:uid="{FA6F1B23-3194-4CD0-A485-FC00AD76997F}"/>
    <cellStyle name="Normal 5 9 3" xfId="5606" xr:uid="{00000000-0005-0000-0000-0000DF1B0000}"/>
    <cellStyle name="Normal 5 9 3 2" xfId="14048" xr:uid="{ABDB0581-D57F-4654-942B-D9DAAAB61AD6}"/>
    <cellStyle name="Normal 5 9 4" xfId="9830" xr:uid="{CCB79259-4294-4097-B7D3-7489B65B435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82851301-3580-4F5B-A965-ED06B0D32CD9}"/>
    <cellStyle name="Normal 8 10 2 3" xfId="12865" xr:uid="{22B51BF6-529F-4485-9188-BDA1693F72BE}"/>
    <cellStyle name="Normal 8 10 3" xfId="6496" xr:uid="{00000000-0005-0000-0000-0000EB1B0000}"/>
    <cellStyle name="Normal 8 10 3 2" xfId="14938" xr:uid="{7C465866-FAD4-44BE-8886-936A5EA8018D}"/>
    <cellStyle name="Normal 8 10 4" xfId="10720" xr:uid="{4DF072C3-2EA4-4A60-8BD8-AC992C8F11F3}"/>
    <cellStyle name="Normal 8 11" xfId="2625" xr:uid="{00000000-0005-0000-0000-0000EC1B0000}"/>
    <cellStyle name="Normal 8 11 2" xfId="6909" xr:uid="{00000000-0005-0000-0000-0000ED1B0000}"/>
    <cellStyle name="Normal 8 11 2 2" xfId="15351" xr:uid="{67986046-BB61-4EBD-B1CD-8CD3191D84AD}"/>
    <cellStyle name="Normal 8 11 3" xfId="11133" xr:uid="{053E068E-5A7E-45AD-A503-27E80CF09EF1}"/>
    <cellStyle name="Normal 8 12" xfId="4844" xr:uid="{00000000-0005-0000-0000-0000EE1B0000}"/>
    <cellStyle name="Normal 8 12 2" xfId="13286" xr:uid="{62162E8B-6201-498A-8F9D-516605E24078}"/>
    <cellStyle name="Normal 8 13" xfId="9068" xr:uid="{AA0E1B69-7E95-48F6-8EE0-C6D5DE245631}"/>
    <cellStyle name="Normal 8 2" xfId="479" xr:uid="{00000000-0005-0000-0000-0000EF1B0000}"/>
    <cellStyle name="Normal 8 2 10" xfId="2626" xr:uid="{00000000-0005-0000-0000-0000F01B0000}"/>
    <cellStyle name="Normal 8 2 10 2" xfId="6910" xr:uid="{00000000-0005-0000-0000-0000F11B0000}"/>
    <cellStyle name="Normal 8 2 10 2 2" xfId="15352" xr:uid="{BE57BE9E-F8E1-4B0D-9D46-E521EE09E284}"/>
    <cellStyle name="Normal 8 2 10 3" xfId="11134" xr:uid="{396B6BDC-1EC6-4EBB-B3D0-7F9EC4501B92}"/>
    <cellStyle name="Normal 8 2 11" xfId="4845" xr:uid="{00000000-0005-0000-0000-0000F21B0000}"/>
    <cellStyle name="Normal 8 2 11 2" xfId="13287" xr:uid="{9581BFD9-16A4-416B-97A8-252923E898A6}"/>
    <cellStyle name="Normal 8 2 12" xfId="9069" xr:uid="{7287CE57-967F-4241-9220-105B10D16410}"/>
    <cellStyle name="Normal 8 2 2" xfId="480" xr:uid="{00000000-0005-0000-0000-0000F31B0000}"/>
    <cellStyle name="Normal 8 2 2 10" xfId="4846" xr:uid="{00000000-0005-0000-0000-0000F41B0000}"/>
    <cellStyle name="Normal 8 2 2 10 2" xfId="13288" xr:uid="{65342461-DFCB-4E4D-8228-862D83C0EE00}"/>
    <cellStyle name="Normal 8 2 2 11" xfId="9070" xr:uid="{8811D061-4ED4-4E2C-B4C9-686F908F32E6}"/>
    <cellStyle name="Normal 8 2 2 2" xfId="481" xr:uid="{00000000-0005-0000-0000-0000F51B0000}"/>
    <cellStyle name="Normal 8 2 2 2 10" xfId="9071" xr:uid="{C9497F39-194C-419A-B006-7CB5D061F8D7}"/>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58069E51-39F5-4CD3-A315-21E8B4DD4384}"/>
    <cellStyle name="Normal 8 2 2 2 2 2 2 2 3" xfId="11631" xr:uid="{02272E86-A406-49DE-88C6-40F5478AA683}"/>
    <cellStyle name="Normal 8 2 2 2 2 2 2 3" xfId="5262" xr:uid="{00000000-0005-0000-0000-0000FB1B0000}"/>
    <cellStyle name="Normal 8 2 2 2 2 2 2 3 2" xfId="13704" xr:uid="{A677DC72-3392-4A6E-969A-346AE61A996A}"/>
    <cellStyle name="Normal 8 2 2 2 2 2 2 4" xfId="9486" xr:uid="{C1A5F29C-08E6-4EAE-BD96-6F86EE21156B}"/>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561AC7D7-5B97-45F3-BC36-10A0AEC08C22}"/>
    <cellStyle name="Normal 8 2 2 2 2 2 3 2 3" xfId="12044" xr:uid="{1D1FF98C-64CD-424A-A0E6-04E9A1397C3D}"/>
    <cellStyle name="Normal 8 2 2 2 2 2 3 3" xfId="5675" xr:uid="{00000000-0005-0000-0000-0000FF1B0000}"/>
    <cellStyle name="Normal 8 2 2 2 2 2 3 3 2" xfId="14117" xr:uid="{8056EDBE-910C-40CF-A3FB-B92D92A6BAF3}"/>
    <cellStyle name="Normal 8 2 2 2 2 2 3 4" xfId="9899" xr:uid="{FEFDB31C-3B85-49E1-98BC-8F7694048352}"/>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DD746411-E295-4C17-8D76-ECCC38290A4A}"/>
    <cellStyle name="Normal 8 2 2 2 2 2 4 2 3" xfId="12457" xr:uid="{D89E9C18-0FED-422C-B220-BE5BAAFADBB3}"/>
    <cellStyle name="Normal 8 2 2 2 2 2 4 3" xfId="6088" xr:uid="{00000000-0005-0000-0000-0000031C0000}"/>
    <cellStyle name="Normal 8 2 2 2 2 2 4 3 2" xfId="14530" xr:uid="{18D6B3CF-58DA-4257-9E60-47541DC2D47F}"/>
    <cellStyle name="Normal 8 2 2 2 2 2 4 4" xfId="10312" xr:uid="{009F9CBD-03BB-4CF8-A364-D4A4DE779F0C}"/>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168E1A63-FA61-482B-9C10-8815273625F7}"/>
    <cellStyle name="Normal 8 2 2 2 2 2 5 2 3" xfId="12870" xr:uid="{81D27305-F196-4ADC-90B8-92E5D9F2505F}"/>
    <cellStyle name="Normal 8 2 2 2 2 2 5 3" xfId="6501" xr:uid="{00000000-0005-0000-0000-0000071C0000}"/>
    <cellStyle name="Normal 8 2 2 2 2 2 5 3 2" xfId="14943" xr:uid="{502CADB6-1626-40C8-908C-9DC1D63A1195}"/>
    <cellStyle name="Normal 8 2 2 2 2 2 5 4" xfId="10725" xr:uid="{5E9EEBF9-92BE-4068-83F9-C0450D50BA6E}"/>
    <cellStyle name="Normal 8 2 2 2 2 2 6" xfId="2630" xr:uid="{00000000-0005-0000-0000-0000081C0000}"/>
    <cellStyle name="Normal 8 2 2 2 2 2 6 2" xfId="6914" xr:uid="{00000000-0005-0000-0000-0000091C0000}"/>
    <cellStyle name="Normal 8 2 2 2 2 2 6 2 2" xfId="15356" xr:uid="{9D7BD820-4EBE-4082-B30C-2E410F6522D9}"/>
    <cellStyle name="Normal 8 2 2 2 2 2 6 3" xfId="11138" xr:uid="{1FD2EE89-3719-4D74-AC39-37A3277E0D2D}"/>
    <cellStyle name="Normal 8 2 2 2 2 2 7" xfId="4849" xr:uid="{00000000-0005-0000-0000-00000A1C0000}"/>
    <cellStyle name="Normal 8 2 2 2 2 2 7 2" xfId="13291" xr:uid="{8D324B3D-4113-4744-A1B8-E9115E884D54}"/>
    <cellStyle name="Normal 8 2 2 2 2 2 8" xfId="9073" xr:uid="{3D9E91C2-1EF4-4A8B-B233-4BD5193BB147}"/>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79B56620-BA73-4A1E-A4BF-5505A8DF8189}"/>
    <cellStyle name="Normal 8 2 2 2 2 3 2 3" xfId="11630" xr:uid="{4A74DE4D-9D6B-46A1-B2F6-89A6E712B513}"/>
    <cellStyle name="Normal 8 2 2 2 2 3 3" xfId="5261" xr:uid="{00000000-0005-0000-0000-00000E1C0000}"/>
    <cellStyle name="Normal 8 2 2 2 2 3 3 2" xfId="13703" xr:uid="{22FF6E31-1FF7-4EE0-BF9D-5ACB42A5CD76}"/>
    <cellStyle name="Normal 8 2 2 2 2 3 4" xfId="9485" xr:uid="{DE6C1889-F464-4B68-ACB4-1E78F29A56D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16B9F3E2-0CD4-43B3-B9EC-866CB65009FA}"/>
    <cellStyle name="Normal 8 2 2 2 2 4 2 3" xfId="12043" xr:uid="{70E5E651-B508-453A-B97A-8B5FD445BDAA}"/>
    <cellStyle name="Normal 8 2 2 2 2 4 3" xfId="5674" xr:uid="{00000000-0005-0000-0000-0000121C0000}"/>
    <cellStyle name="Normal 8 2 2 2 2 4 3 2" xfId="14116" xr:uid="{F1A40EE3-0205-465D-B3A8-625EA2D770D4}"/>
    <cellStyle name="Normal 8 2 2 2 2 4 4" xfId="9898" xr:uid="{0300B92F-C609-4FE2-9763-CE75008D106D}"/>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D521EA8E-B669-4131-9E06-C5B635B14452}"/>
    <cellStyle name="Normal 8 2 2 2 2 5 2 3" xfId="12456" xr:uid="{08AB1656-A308-42B0-B27C-3C5ED6811EB5}"/>
    <cellStyle name="Normal 8 2 2 2 2 5 3" xfId="6087" xr:uid="{00000000-0005-0000-0000-0000161C0000}"/>
    <cellStyle name="Normal 8 2 2 2 2 5 3 2" xfId="14529" xr:uid="{198920B5-DD95-4EC2-A5C2-A01965675166}"/>
    <cellStyle name="Normal 8 2 2 2 2 5 4" xfId="10311" xr:uid="{FCC69B06-22C5-434B-A798-2A6CA85C23FF}"/>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1CB1502D-EC73-41BD-9004-AFE091151384}"/>
    <cellStyle name="Normal 8 2 2 2 2 6 2 3" xfId="12869" xr:uid="{06310AF5-5983-4CB3-95C0-9C9D83CCD8DD}"/>
    <cellStyle name="Normal 8 2 2 2 2 6 3" xfId="6500" xr:uid="{00000000-0005-0000-0000-00001A1C0000}"/>
    <cellStyle name="Normal 8 2 2 2 2 6 3 2" xfId="14942" xr:uid="{E008A419-FB58-4EA0-A51F-0CACEA73BBB6}"/>
    <cellStyle name="Normal 8 2 2 2 2 6 4" xfId="10724" xr:uid="{AA1C42E6-44B2-4CD5-9700-9FF50F735D20}"/>
    <cellStyle name="Normal 8 2 2 2 2 7" xfId="2629" xr:uid="{00000000-0005-0000-0000-00001B1C0000}"/>
    <cellStyle name="Normal 8 2 2 2 2 7 2" xfId="6913" xr:uid="{00000000-0005-0000-0000-00001C1C0000}"/>
    <cellStyle name="Normal 8 2 2 2 2 7 2 2" xfId="15355" xr:uid="{5CB78D4C-B257-4C26-BB91-290384CCCB8E}"/>
    <cellStyle name="Normal 8 2 2 2 2 7 3" xfId="11137" xr:uid="{9FC1D141-83AD-4B17-845F-90C242763720}"/>
    <cellStyle name="Normal 8 2 2 2 2 8" xfId="4848" xr:uid="{00000000-0005-0000-0000-00001D1C0000}"/>
    <cellStyle name="Normal 8 2 2 2 2 8 2" xfId="13290" xr:uid="{DC5E8C99-D35A-4D24-A127-625DAF69BE30}"/>
    <cellStyle name="Normal 8 2 2 2 2 9" xfId="9072" xr:uid="{142E8645-78BC-46F9-A4B5-F67340427A3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CB71E4CF-CECE-4945-9185-F594B0387C25}"/>
    <cellStyle name="Normal 8 2 2 2 3 2 2 3" xfId="11632" xr:uid="{E5D2CC57-0568-4932-A55F-4004F16D7A58}"/>
    <cellStyle name="Normal 8 2 2 2 3 2 3" xfId="5263" xr:uid="{00000000-0005-0000-0000-0000221C0000}"/>
    <cellStyle name="Normal 8 2 2 2 3 2 3 2" xfId="13705" xr:uid="{083B3B41-CA4C-49AF-83AB-BE2784F63AC8}"/>
    <cellStyle name="Normal 8 2 2 2 3 2 4" xfId="9487" xr:uid="{04309E04-E6CA-4471-BAED-FEE59E79E5B9}"/>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07126D16-650D-442A-8679-BFCBE5169E98}"/>
    <cellStyle name="Normal 8 2 2 2 3 3 2 3" xfId="12045" xr:uid="{E0A30F0F-B2CA-431E-8307-122D12A6C2C9}"/>
    <cellStyle name="Normal 8 2 2 2 3 3 3" xfId="5676" xr:uid="{00000000-0005-0000-0000-0000261C0000}"/>
    <cellStyle name="Normal 8 2 2 2 3 3 3 2" xfId="14118" xr:uid="{5626D9BD-3DF6-452B-8ADD-9806F7E1EB1C}"/>
    <cellStyle name="Normal 8 2 2 2 3 3 4" xfId="9900" xr:uid="{B4E8D41D-B4BB-49D5-8BEB-52D5A5320448}"/>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FAE395F0-0983-4F30-BBC8-E9FA69E57EDD}"/>
    <cellStyle name="Normal 8 2 2 2 3 4 2 3" xfId="12458" xr:uid="{FA8916C2-D49B-44BB-A8CB-71D1F6AEC53E}"/>
    <cellStyle name="Normal 8 2 2 2 3 4 3" xfId="6089" xr:uid="{00000000-0005-0000-0000-00002A1C0000}"/>
    <cellStyle name="Normal 8 2 2 2 3 4 3 2" xfId="14531" xr:uid="{5174076C-3AAE-4860-A704-477191E7DA4B}"/>
    <cellStyle name="Normal 8 2 2 2 3 4 4" xfId="10313" xr:uid="{E49DF7A8-E458-4888-BBC1-AFF1B4830E07}"/>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83AC076C-39D2-4DE7-8C1C-57355B716C54}"/>
    <cellStyle name="Normal 8 2 2 2 3 5 2 3" xfId="12871" xr:uid="{DCFD1233-32BE-401B-ADD3-1D9E7FFC5A83}"/>
    <cellStyle name="Normal 8 2 2 2 3 5 3" xfId="6502" xr:uid="{00000000-0005-0000-0000-00002E1C0000}"/>
    <cellStyle name="Normal 8 2 2 2 3 5 3 2" xfId="14944" xr:uid="{88EC9D10-B624-4FB4-B80A-C12A207E3103}"/>
    <cellStyle name="Normal 8 2 2 2 3 5 4" xfId="10726" xr:uid="{4C921F33-33D7-490A-8191-953EE0FF7E1F}"/>
    <cellStyle name="Normal 8 2 2 2 3 6" xfId="2631" xr:uid="{00000000-0005-0000-0000-00002F1C0000}"/>
    <cellStyle name="Normal 8 2 2 2 3 6 2" xfId="6915" xr:uid="{00000000-0005-0000-0000-0000301C0000}"/>
    <cellStyle name="Normal 8 2 2 2 3 6 2 2" xfId="15357" xr:uid="{3277374F-6243-4375-9690-CDF11BB4D1A9}"/>
    <cellStyle name="Normal 8 2 2 2 3 6 3" xfId="11139" xr:uid="{9F4021DE-26E7-4B03-9FEF-C027AB40760B}"/>
    <cellStyle name="Normal 8 2 2 2 3 7" xfId="4850" xr:uid="{00000000-0005-0000-0000-0000311C0000}"/>
    <cellStyle name="Normal 8 2 2 2 3 7 2" xfId="13292" xr:uid="{4536E187-76C1-4704-AC5E-1F36BABFD8DA}"/>
    <cellStyle name="Normal 8 2 2 2 3 8" xfId="9074" xr:uid="{D2227EBB-63C5-4356-A2C6-89996743577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626E920D-FEB6-4332-A1B5-F81E15BC6828}"/>
    <cellStyle name="Normal 8 2 2 2 4 2 3" xfId="11629" xr:uid="{031A914B-CFA8-4B17-88B2-9577EA0D3A39}"/>
    <cellStyle name="Normal 8 2 2 2 4 3" xfId="5260" xr:uid="{00000000-0005-0000-0000-0000351C0000}"/>
    <cellStyle name="Normal 8 2 2 2 4 3 2" xfId="13702" xr:uid="{54ECA7F8-219B-40C2-AC8E-933D013AAFDD}"/>
    <cellStyle name="Normal 8 2 2 2 4 4" xfId="9484" xr:uid="{0EA88FF9-786C-4168-BDB2-0D26B1EDB9CF}"/>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00E9E50F-2EDC-4D3D-9804-D98956A1D7C0}"/>
    <cellStyle name="Normal 8 2 2 2 5 2 3" xfId="12042" xr:uid="{F46DF7ED-B332-4506-9923-514A52FD875D}"/>
    <cellStyle name="Normal 8 2 2 2 5 3" xfId="5673" xr:uid="{00000000-0005-0000-0000-0000391C0000}"/>
    <cellStyle name="Normal 8 2 2 2 5 3 2" xfId="14115" xr:uid="{AC2CB126-2710-413E-A8E6-D83192A719EE}"/>
    <cellStyle name="Normal 8 2 2 2 5 4" xfId="9897" xr:uid="{98D61CC4-4110-4AD0-80F8-B00D5370BF8E}"/>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D1C20595-5027-4C6B-A46C-87FB6BFB907D}"/>
    <cellStyle name="Normal 8 2 2 2 6 2 3" xfId="12455" xr:uid="{EA4096F4-B0F3-41BE-8174-696ABA5E3633}"/>
    <cellStyle name="Normal 8 2 2 2 6 3" xfId="6086" xr:uid="{00000000-0005-0000-0000-00003D1C0000}"/>
    <cellStyle name="Normal 8 2 2 2 6 3 2" xfId="14528" xr:uid="{9868869E-8972-461A-9CD4-BC2DC4A0BE90}"/>
    <cellStyle name="Normal 8 2 2 2 6 4" xfId="10310" xr:uid="{D2942667-5121-4EF7-B2F4-331B02FA74D4}"/>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7DC3AEE6-0421-483D-9191-1677B250A5D9}"/>
    <cellStyle name="Normal 8 2 2 2 7 2 3" xfId="12868" xr:uid="{3084162E-8A06-4B34-B415-D9E04A5A2A38}"/>
    <cellStyle name="Normal 8 2 2 2 7 3" xfId="6499" xr:uid="{00000000-0005-0000-0000-0000411C0000}"/>
    <cellStyle name="Normal 8 2 2 2 7 3 2" xfId="14941" xr:uid="{0B10DD4C-4072-45EB-891E-2C3849CA3458}"/>
    <cellStyle name="Normal 8 2 2 2 7 4" xfId="10723" xr:uid="{7E194AA9-3A45-4A8D-A4AD-004423F24567}"/>
    <cellStyle name="Normal 8 2 2 2 8" xfId="2628" xr:uid="{00000000-0005-0000-0000-0000421C0000}"/>
    <cellStyle name="Normal 8 2 2 2 8 2" xfId="6912" xr:uid="{00000000-0005-0000-0000-0000431C0000}"/>
    <cellStyle name="Normal 8 2 2 2 8 2 2" xfId="15354" xr:uid="{7E228B16-C82E-4BC4-968B-24B9BA34812A}"/>
    <cellStyle name="Normal 8 2 2 2 8 3" xfId="11136" xr:uid="{82772103-7B15-42BC-A263-20F56A317105}"/>
    <cellStyle name="Normal 8 2 2 2 9" xfId="4847" xr:uid="{00000000-0005-0000-0000-0000441C0000}"/>
    <cellStyle name="Normal 8 2 2 2 9 2" xfId="13289" xr:uid="{25DBFF57-171B-44FD-979D-6F4AB169E655}"/>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A1FE30A8-9740-45CE-9CBF-157B5524637C}"/>
    <cellStyle name="Normal 8 2 2 3 2 2 2 3" xfId="11634" xr:uid="{8B906A22-094F-4BAE-8E15-5D4CB59694D3}"/>
    <cellStyle name="Normal 8 2 2 3 2 2 3" xfId="5265" xr:uid="{00000000-0005-0000-0000-00004A1C0000}"/>
    <cellStyle name="Normal 8 2 2 3 2 2 3 2" xfId="13707" xr:uid="{6163D39D-0A5D-4DE4-9907-6A5F0DD42E47}"/>
    <cellStyle name="Normal 8 2 2 3 2 2 4" xfId="9489" xr:uid="{34ED8769-F095-4C86-99DC-C4B4C9008EA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A2039A78-C2D0-481F-91E2-A43C9C9D2484}"/>
    <cellStyle name="Normal 8 2 2 3 2 3 2 3" xfId="12047" xr:uid="{C1E282ED-F84E-4C35-BC9D-D3887AA080EC}"/>
    <cellStyle name="Normal 8 2 2 3 2 3 3" xfId="5678" xr:uid="{00000000-0005-0000-0000-00004E1C0000}"/>
    <cellStyle name="Normal 8 2 2 3 2 3 3 2" xfId="14120" xr:uid="{F41D840D-C400-48FC-846E-47C460DA8E55}"/>
    <cellStyle name="Normal 8 2 2 3 2 3 4" xfId="9902" xr:uid="{AEC708C8-FBB8-437E-A950-65FAE15965C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4C6FEBF6-E374-4BF6-813E-2128576035A3}"/>
    <cellStyle name="Normal 8 2 2 3 2 4 2 3" xfId="12460" xr:uid="{F65BA45B-58F5-4D38-A59C-437B35A8E2BB}"/>
    <cellStyle name="Normal 8 2 2 3 2 4 3" xfId="6091" xr:uid="{00000000-0005-0000-0000-0000521C0000}"/>
    <cellStyle name="Normal 8 2 2 3 2 4 3 2" xfId="14533" xr:uid="{C0F04ACE-43B7-4B07-BA41-2592BA2080DF}"/>
    <cellStyle name="Normal 8 2 2 3 2 4 4" xfId="10315" xr:uid="{C57CF17E-A2AC-499F-8D52-5957C9CA3446}"/>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5A5C8C84-13F9-434C-857D-3679CB15E77D}"/>
    <cellStyle name="Normal 8 2 2 3 2 5 2 3" xfId="12873" xr:uid="{8E301279-3830-4D52-AC87-DB79F690078C}"/>
    <cellStyle name="Normal 8 2 2 3 2 5 3" xfId="6504" xr:uid="{00000000-0005-0000-0000-0000561C0000}"/>
    <cellStyle name="Normal 8 2 2 3 2 5 3 2" xfId="14946" xr:uid="{E31271CD-3FE4-4FBE-94DD-10F71C6748DD}"/>
    <cellStyle name="Normal 8 2 2 3 2 5 4" xfId="10728" xr:uid="{D274E957-5892-45F5-A99E-1882A3F4D528}"/>
    <cellStyle name="Normal 8 2 2 3 2 6" xfId="2633" xr:uid="{00000000-0005-0000-0000-0000571C0000}"/>
    <cellStyle name="Normal 8 2 2 3 2 6 2" xfId="6917" xr:uid="{00000000-0005-0000-0000-0000581C0000}"/>
    <cellStyle name="Normal 8 2 2 3 2 6 2 2" xfId="15359" xr:uid="{F59FDA92-BD84-46F9-84CF-0AF07C124195}"/>
    <cellStyle name="Normal 8 2 2 3 2 6 3" xfId="11141" xr:uid="{37475E2E-076E-46CA-9732-BDDB8171B075}"/>
    <cellStyle name="Normal 8 2 2 3 2 7" xfId="4852" xr:uid="{00000000-0005-0000-0000-0000591C0000}"/>
    <cellStyle name="Normal 8 2 2 3 2 7 2" xfId="13294" xr:uid="{D24013D3-EFE1-4DA0-B7CD-7DF8D8A09521}"/>
    <cellStyle name="Normal 8 2 2 3 2 8" xfId="9076" xr:uid="{6CC6962F-1A6C-4D68-859C-DD3F3A5C53A7}"/>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3DF16A9-A98D-444E-86F7-66AB4EB40572}"/>
    <cellStyle name="Normal 8 2 2 3 3 2 3" xfId="11633" xr:uid="{3F0FD6FC-4B0C-45C9-85DB-BAD945402FD4}"/>
    <cellStyle name="Normal 8 2 2 3 3 3" xfId="5264" xr:uid="{00000000-0005-0000-0000-00005D1C0000}"/>
    <cellStyle name="Normal 8 2 2 3 3 3 2" xfId="13706" xr:uid="{C0072BEB-C4B4-4649-8AEF-1E8CB648C0DA}"/>
    <cellStyle name="Normal 8 2 2 3 3 4" xfId="9488" xr:uid="{9B6A8D1A-6348-4D57-B1AC-F2E9930F01C5}"/>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0982F932-C8E4-4840-B726-B0F18AA9BCAF}"/>
    <cellStyle name="Normal 8 2 2 3 4 2 3" xfId="12046" xr:uid="{69F9C850-7D39-4133-8924-38DE4D63CE16}"/>
    <cellStyle name="Normal 8 2 2 3 4 3" xfId="5677" xr:uid="{00000000-0005-0000-0000-0000611C0000}"/>
    <cellStyle name="Normal 8 2 2 3 4 3 2" xfId="14119" xr:uid="{B3D15971-1FC5-4CE2-8136-F8D4194F5BB9}"/>
    <cellStyle name="Normal 8 2 2 3 4 4" xfId="9901" xr:uid="{4A7DE70A-EFBF-4D23-BB39-F039B0BA950D}"/>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11906A34-EE9F-441B-9CA2-F0B2F64DDFF3}"/>
    <cellStyle name="Normal 8 2 2 3 5 2 3" xfId="12459" xr:uid="{21D62BDF-683F-4FBE-ACEA-48605392D525}"/>
    <cellStyle name="Normal 8 2 2 3 5 3" xfId="6090" xr:uid="{00000000-0005-0000-0000-0000651C0000}"/>
    <cellStyle name="Normal 8 2 2 3 5 3 2" xfId="14532" xr:uid="{FBE2D9E9-43EC-4F81-9477-D81363D9F39F}"/>
    <cellStyle name="Normal 8 2 2 3 5 4" xfId="10314" xr:uid="{2E3C90B4-EEFB-47A0-97D0-EA6B5CE3D3F5}"/>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7DB7126B-82F6-4AEC-8F39-71B64D395956}"/>
    <cellStyle name="Normal 8 2 2 3 6 2 3" xfId="12872" xr:uid="{7D16AF2B-3ED3-4766-BAE1-0CA238C31A8D}"/>
    <cellStyle name="Normal 8 2 2 3 6 3" xfId="6503" xr:uid="{00000000-0005-0000-0000-0000691C0000}"/>
    <cellStyle name="Normal 8 2 2 3 6 3 2" xfId="14945" xr:uid="{F491D261-4784-4691-ACFD-E46CD46201AF}"/>
    <cellStyle name="Normal 8 2 2 3 6 4" xfId="10727" xr:uid="{8671BB2A-B9CC-4E8E-9D95-25AAFA1A82AB}"/>
    <cellStyle name="Normal 8 2 2 3 7" xfId="2632" xr:uid="{00000000-0005-0000-0000-00006A1C0000}"/>
    <cellStyle name="Normal 8 2 2 3 7 2" xfId="6916" xr:uid="{00000000-0005-0000-0000-00006B1C0000}"/>
    <cellStyle name="Normal 8 2 2 3 7 2 2" xfId="15358" xr:uid="{4D5C1ACC-2C37-4CA7-B2D4-FAEFFB22A0C1}"/>
    <cellStyle name="Normal 8 2 2 3 7 3" xfId="11140" xr:uid="{2383C822-B0DE-491E-9579-9C6606B17166}"/>
    <cellStyle name="Normal 8 2 2 3 8" xfId="4851" xr:uid="{00000000-0005-0000-0000-00006C1C0000}"/>
    <cellStyle name="Normal 8 2 2 3 8 2" xfId="13293" xr:uid="{9CFA70B7-0366-497A-8E5A-CB58A14FDEC1}"/>
    <cellStyle name="Normal 8 2 2 3 9" xfId="9075" xr:uid="{1E7DCB93-BD9D-43BB-9895-6D637DFD32B1}"/>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695F6DA1-0AAA-4934-9A44-58CA4552E71A}"/>
    <cellStyle name="Normal 8 2 2 4 2 2 3" xfId="11635" xr:uid="{D93E92D2-C26B-4A5A-BA88-C16A4CC11D7A}"/>
    <cellStyle name="Normal 8 2 2 4 2 3" xfId="5266" xr:uid="{00000000-0005-0000-0000-0000711C0000}"/>
    <cellStyle name="Normal 8 2 2 4 2 3 2" xfId="13708" xr:uid="{2BFB56ED-533B-4445-AF85-84FEFD253A6A}"/>
    <cellStyle name="Normal 8 2 2 4 2 4" xfId="9490" xr:uid="{FDCCFE19-0AC3-4361-83F6-6438301BF3EF}"/>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B5D863EF-E9D1-4BC0-BF8E-19CE732E01C3}"/>
    <cellStyle name="Normal 8 2 2 4 3 2 3" xfId="12048" xr:uid="{455C1E9B-93F5-4C5C-9779-E5CDC057102A}"/>
    <cellStyle name="Normal 8 2 2 4 3 3" xfId="5679" xr:uid="{00000000-0005-0000-0000-0000751C0000}"/>
    <cellStyle name="Normal 8 2 2 4 3 3 2" xfId="14121" xr:uid="{B7DB3665-5BE5-41E4-A717-264B7ABF0726}"/>
    <cellStyle name="Normal 8 2 2 4 3 4" xfId="9903" xr:uid="{55391F01-43C9-416E-924C-F78A80657F2C}"/>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0CC01D14-A5CC-4893-A50D-F3556E84035C}"/>
    <cellStyle name="Normal 8 2 2 4 4 2 3" xfId="12461" xr:uid="{AB80F1F8-6797-4B67-AE2B-06721F9DA4F7}"/>
    <cellStyle name="Normal 8 2 2 4 4 3" xfId="6092" xr:uid="{00000000-0005-0000-0000-0000791C0000}"/>
    <cellStyle name="Normal 8 2 2 4 4 3 2" xfId="14534" xr:uid="{8BA1BCFD-333E-4680-8666-6CA1611D7DF7}"/>
    <cellStyle name="Normal 8 2 2 4 4 4" xfId="10316" xr:uid="{49AFC274-F6F8-41DA-A361-C30D097E2536}"/>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041482BC-73C0-437D-A2CE-BBEC09A23ED4}"/>
    <cellStyle name="Normal 8 2 2 4 5 2 3" xfId="12874" xr:uid="{1877BBA6-FFBB-499D-9BBF-18275CFA084C}"/>
    <cellStyle name="Normal 8 2 2 4 5 3" xfId="6505" xr:uid="{00000000-0005-0000-0000-00007D1C0000}"/>
    <cellStyle name="Normal 8 2 2 4 5 3 2" xfId="14947" xr:uid="{CD1CD597-B8B9-4DBD-A421-4694A2EF577C}"/>
    <cellStyle name="Normal 8 2 2 4 5 4" xfId="10729" xr:uid="{263A431E-C401-4CC5-A031-A4110745E2C7}"/>
    <cellStyle name="Normal 8 2 2 4 6" xfId="2634" xr:uid="{00000000-0005-0000-0000-00007E1C0000}"/>
    <cellStyle name="Normal 8 2 2 4 6 2" xfId="6918" xr:uid="{00000000-0005-0000-0000-00007F1C0000}"/>
    <cellStyle name="Normal 8 2 2 4 6 2 2" xfId="15360" xr:uid="{6A76D3A3-3DD4-4240-A036-1E0B8BED26BF}"/>
    <cellStyle name="Normal 8 2 2 4 6 3" xfId="11142" xr:uid="{4C4E41B1-BC55-48B7-9020-2841BF6C0926}"/>
    <cellStyle name="Normal 8 2 2 4 7" xfId="4853" xr:uid="{00000000-0005-0000-0000-0000801C0000}"/>
    <cellStyle name="Normal 8 2 2 4 7 2" xfId="13295" xr:uid="{0EE2DDCE-50CA-4510-8AD8-38CCFFC5BB16}"/>
    <cellStyle name="Normal 8 2 2 4 8" xfId="9077" xr:uid="{BC2C3B9A-2367-418B-A2B5-7DF1679C6B28}"/>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0A02F6F2-6402-4728-BA58-0ADFBA9372A8}"/>
    <cellStyle name="Normal 8 2 2 5 2 3" xfId="11628" xr:uid="{B68F26DD-D9C9-4CAA-BFF7-CEB2EE4EF801}"/>
    <cellStyle name="Normal 8 2 2 5 3" xfId="5259" xr:uid="{00000000-0005-0000-0000-0000841C0000}"/>
    <cellStyle name="Normal 8 2 2 5 3 2" xfId="13701" xr:uid="{2EB49D8F-E1EB-4BF3-9B76-B86A6D27ED90}"/>
    <cellStyle name="Normal 8 2 2 5 4" xfId="9483" xr:uid="{F2EE4965-3891-43EF-BA00-0597E7517CCD}"/>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0AFCC9C-B4F6-48DB-B846-1A949F2ADD17}"/>
    <cellStyle name="Normal 8 2 2 6 2 3" xfId="12041" xr:uid="{49902874-393B-4FFE-AD2E-C40B3E1D9FA6}"/>
    <cellStyle name="Normal 8 2 2 6 3" xfId="5672" xr:uid="{00000000-0005-0000-0000-0000881C0000}"/>
    <cellStyle name="Normal 8 2 2 6 3 2" xfId="14114" xr:uid="{77DCB594-BE9D-49A0-8A37-13D03D590691}"/>
    <cellStyle name="Normal 8 2 2 6 4" xfId="9896" xr:uid="{6FA0C4F2-22D8-4BFA-9BD5-43DBD80E3909}"/>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A4160FB3-250F-418D-A9E9-BCF4FC341B4F}"/>
    <cellStyle name="Normal 8 2 2 7 2 3" xfId="12454" xr:uid="{4BBF018D-0591-4AD5-AE3E-228EBAB4E42C}"/>
    <cellStyle name="Normal 8 2 2 7 3" xfId="6085" xr:uid="{00000000-0005-0000-0000-00008C1C0000}"/>
    <cellStyle name="Normal 8 2 2 7 3 2" xfId="14527" xr:uid="{D01C45B6-CE65-467F-B430-86C7C552219B}"/>
    <cellStyle name="Normal 8 2 2 7 4" xfId="10309" xr:uid="{63F96A70-822D-4ACD-83E2-4D2FBD82895E}"/>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AB5BB0EB-1FA0-4325-B1C2-C4948E56B1AB}"/>
    <cellStyle name="Normal 8 2 2 8 2 3" xfId="12867" xr:uid="{B698F9D8-FC49-458B-B466-99BE4B103354}"/>
    <cellStyle name="Normal 8 2 2 8 3" xfId="6498" xr:uid="{00000000-0005-0000-0000-0000901C0000}"/>
    <cellStyle name="Normal 8 2 2 8 3 2" xfId="14940" xr:uid="{201815D9-0B63-4592-A1D1-7E1BF732B19D}"/>
    <cellStyle name="Normal 8 2 2 8 4" xfId="10722" xr:uid="{866C9A96-7C0E-4E6B-AC95-4BA53B8039A0}"/>
    <cellStyle name="Normal 8 2 2 9" xfId="2627" xr:uid="{00000000-0005-0000-0000-0000911C0000}"/>
    <cellStyle name="Normal 8 2 2 9 2" xfId="6911" xr:uid="{00000000-0005-0000-0000-0000921C0000}"/>
    <cellStyle name="Normal 8 2 2 9 2 2" xfId="15353" xr:uid="{9D746958-555A-4C43-8DCD-6CFCE7FBCC4F}"/>
    <cellStyle name="Normal 8 2 2 9 3" xfId="11135" xr:uid="{E2DE4129-238E-4158-9C27-1182F14C65FF}"/>
    <cellStyle name="Normal 8 2 3" xfId="488" xr:uid="{00000000-0005-0000-0000-0000931C0000}"/>
    <cellStyle name="Normal 8 2 3 10" xfId="9078" xr:uid="{2F4591D0-4C33-474A-B628-6F261456434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31AB20C9-EDB7-49BA-B323-944262071661}"/>
    <cellStyle name="Normal 8 2 3 2 2 2 2 3" xfId="11638" xr:uid="{E847420B-2BED-42CD-86D2-DAC4BE204198}"/>
    <cellStyle name="Normal 8 2 3 2 2 2 3" xfId="5269" xr:uid="{00000000-0005-0000-0000-0000991C0000}"/>
    <cellStyle name="Normal 8 2 3 2 2 2 3 2" xfId="13711" xr:uid="{15D0F516-B7FC-46EE-A3E8-2A330538F91D}"/>
    <cellStyle name="Normal 8 2 3 2 2 2 4" xfId="9493" xr:uid="{0D42070A-D4E8-4391-A202-FD7CF492BB08}"/>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7AB572F3-CE7F-4280-9CF9-1A91F7D4F2FD}"/>
    <cellStyle name="Normal 8 2 3 2 2 3 2 3" xfId="12051" xr:uid="{6DBBC22D-5A0F-4DA1-A76C-BA9BD34F4047}"/>
    <cellStyle name="Normal 8 2 3 2 2 3 3" xfId="5682" xr:uid="{00000000-0005-0000-0000-00009D1C0000}"/>
    <cellStyle name="Normal 8 2 3 2 2 3 3 2" xfId="14124" xr:uid="{C9E03E06-37CA-4A76-884C-B247CADA360D}"/>
    <cellStyle name="Normal 8 2 3 2 2 3 4" xfId="9906" xr:uid="{C18AA7EA-5F18-417E-8E0D-3E01BF0D2CAB}"/>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C2155377-549D-4892-9A7D-3048E7FEEBBF}"/>
    <cellStyle name="Normal 8 2 3 2 2 4 2 3" xfId="12464" xr:uid="{A2DF3FCC-5E76-455D-9323-C7D04AA89571}"/>
    <cellStyle name="Normal 8 2 3 2 2 4 3" xfId="6095" xr:uid="{00000000-0005-0000-0000-0000A11C0000}"/>
    <cellStyle name="Normal 8 2 3 2 2 4 3 2" xfId="14537" xr:uid="{9366535B-BA5C-40E2-A0F6-6613A51F9553}"/>
    <cellStyle name="Normal 8 2 3 2 2 4 4" xfId="10319" xr:uid="{E1A1384C-73DC-49BA-93CB-E8DB95407F4A}"/>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58055825-A802-4553-BCA7-9849353CF7AD}"/>
    <cellStyle name="Normal 8 2 3 2 2 5 2 3" xfId="12877" xr:uid="{D979225D-232D-453B-B824-7C954E97D7EC}"/>
    <cellStyle name="Normal 8 2 3 2 2 5 3" xfId="6508" xr:uid="{00000000-0005-0000-0000-0000A51C0000}"/>
    <cellStyle name="Normal 8 2 3 2 2 5 3 2" xfId="14950" xr:uid="{133A3968-C24A-4111-AA9A-E074649FF983}"/>
    <cellStyle name="Normal 8 2 3 2 2 5 4" xfId="10732" xr:uid="{3D2937DD-BF52-46C4-9D58-1B316AF72846}"/>
    <cellStyle name="Normal 8 2 3 2 2 6" xfId="2637" xr:uid="{00000000-0005-0000-0000-0000A61C0000}"/>
    <cellStyle name="Normal 8 2 3 2 2 6 2" xfId="6921" xr:uid="{00000000-0005-0000-0000-0000A71C0000}"/>
    <cellStyle name="Normal 8 2 3 2 2 6 2 2" xfId="15363" xr:uid="{7D977638-AF2E-4139-B411-655BF91B6392}"/>
    <cellStyle name="Normal 8 2 3 2 2 6 3" xfId="11145" xr:uid="{A6218855-DE2B-4C9C-8634-710AB241ADFC}"/>
    <cellStyle name="Normal 8 2 3 2 2 7" xfId="4856" xr:uid="{00000000-0005-0000-0000-0000A81C0000}"/>
    <cellStyle name="Normal 8 2 3 2 2 7 2" xfId="13298" xr:uid="{026AF4DC-3C9F-46ED-B483-AE5934BE7AA1}"/>
    <cellStyle name="Normal 8 2 3 2 2 8" xfId="9080" xr:uid="{D700E5FD-5E41-4760-A1F6-AE9404B76851}"/>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F34901D0-9E88-4846-B9CF-F55060E7ED7B}"/>
    <cellStyle name="Normal 8 2 3 2 3 2 3" xfId="11637" xr:uid="{4B537050-E2E7-4093-A2A4-63AEF6C5052C}"/>
    <cellStyle name="Normal 8 2 3 2 3 3" xfId="5268" xr:uid="{00000000-0005-0000-0000-0000AC1C0000}"/>
    <cellStyle name="Normal 8 2 3 2 3 3 2" xfId="13710" xr:uid="{47222A5A-42C7-458B-B99D-56A8FABE036F}"/>
    <cellStyle name="Normal 8 2 3 2 3 4" xfId="9492" xr:uid="{3594AE46-0603-41CC-A244-54AB38D28C82}"/>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1430B1EA-3390-40C0-A192-92EA16B3542C}"/>
    <cellStyle name="Normal 8 2 3 2 4 2 3" xfId="12050" xr:uid="{FE191B64-639E-4E21-83DD-054C86DBF26E}"/>
    <cellStyle name="Normal 8 2 3 2 4 3" xfId="5681" xr:uid="{00000000-0005-0000-0000-0000B01C0000}"/>
    <cellStyle name="Normal 8 2 3 2 4 3 2" xfId="14123" xr:uid="{A845E5A0-0A3C-4018-8186-3DFAD5DB4614}"/>
    <cellStyle name="Normal 8 2 3 2 4 4" xfId="9905" xr:uid="{67BDD1FE-3D65-4C1A-9181-F85E8453D1F7}"/>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D57E1583-A37D-408D-9972-74DA8786E0D8}"/>
    <cellStyle name="Normal 8 2 3 2 5 2 3" xfId="12463" xr:uid="{C8C811DD-04E3-4834-A5E4-6E656B749CF2}"/>
    <cellStyle name="Normal 8 2 3 2 5 3" xfId="6094" xr:uid="{00000000-0005-0000-0000-0000B41C0000}"/>
    <cellStyle name="Normal 8 2 3 2 5 3 2" xfId="14536" xr:uid="{947E6262-549D-4597-8B48-712944AC16CF}"/>
    <cellStyle name="Normal 8 2 3 2 5 4" xfId="10318" xr:uid="{25F5381C-B0D1-40B0-A628-1285062FF6A4}"/>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4C8FF761-13D4-4DF9-9B31-48D340A57C9B}"/>
    <cellStyle name="Normal 8 2 3 2 6 2 3" xfId="12876" xr:uid="{64E2B061-1304-4D2B-9182-9471A0F8FAF5}"/>
    <cellStyle name="Normal 8 2 3 2 6 3" xfId="6507" xr:uid="{00000000-0005-0000-0000-0000B81C0000}"/>
    <cellStyle name="Normal 8 2 3 2 6 3 2" xfId="14949" xr:uid="{50399001-B389-45EF-A35F-A95149BCB43F}"/>
    <cellStyle name="Normal 8 2 3 2 6 4" xfId="10731" xr:uid="{16345285-D02B-465C-9D91-17E2157D69A1}"/>
    <cellStyle name="Normal 8 2 3 2 7" xfId="2636" xr:uid="{00000000-0005-0000-0000-0000B91C0000}"/>
    <cellStyle name="Normal 8 2 3 2 7 2" xfId="6920" xr:uid="{00000000-0005-0000-0000-0000BA1C0000}"/>
    <cellStyle name="Normal 8 2 3 2 7 2 2" xfId="15362" xr:uid="{32D80634-82A0-4EFC-958A-C7EF0A3A322A}"/>
    <cellStyle name="Normal 8 2 3 2 7 3" xfId="11144" xr:uid="{5311756A-17CC-410B-87D8-8DA601AEFFB0}"/>
    <cellStyle name="Normal 8 2 3 2 8" xfId="4855" xr:uid="{00000000-0005-0000-0000-0000BB1C0000}"/>
    <cellStyle name="Normal 8 2 3 2 8 2" xfId="13297" xr:uid="{9A11F6B5-46D3-4F5B-AAD0-E64F63E8AB06}"/>
    <cellStyle name="Normal 8 2 3 2 9" xfId="9079" xr:uid="{A4BB30E9-C46E-459A-B7C8-2D3F8AE3CDFC}"/>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5351DD39-5361-4F72-A701-842A2E4B83C8}"/>
    <cellStyle name="Normal 8 2 3 3 2 2 3" xfId="11639" xr:uid="{7C85C2E2-6ADA-4C24-A78D-4F9BC5643B6A}"/>
    <cellStyle name="Normal 8 2 3 3 2 3" xfId="5270" xr:uid="{00000000-0005-0000-0000-0000C01C0000}"/>
    <cellStyle name="Normal 8 2 3 3 2 3 2" xfId="13712" xr:uid="{3D640C9E-113C-4DF9-AF6E-D7A032C99F1F}"/>
    <cellStyle name="Normal 8 2 3 3 2 4" xfId="9494" xr:uid="{628879B8-B85B-4FC0-B678-6F824A62F94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4A955303-3F11-4E03-912F-1D2A1261D317}"/>
    <cellStyle name="Normal 8 2 3 3 3 2 3" xfId="12052" xr:uid="{215C42A7-F8D7-4C3F-B086-F08275980F69}"/>
    <cellStyle name="Normal 8 2 3 3 3 3" xfId="5683" xr:uid="{00000000-0005-0000-0000-0000C41C0000}"/>
    <cellStyle name="Normal 8 2 3 3 3 3 2" xfId="14125" xr:uid="{F648A04D-CBA2-41FC-977F-244D5467B135}"/>
    <cellStyle name="Normal 8 2 3 3 3 4" xfId="9907" xr:uid="{19217DBD-7F05-49DF-8A06-874D5030E466}"/>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8DD386B6-30FA-4D9C-A79E-14B5F5232D54}"/>
    <cellStyle name="Normal 8 2 3 3 4 2 3" xfId="12465" xr:uid="{C507B373-52C3-4B32-817E-6067F534A176}"/>
    <cellStyle name="Normal 8 2 3 3 4 3" xfId="6096" xr:uid="{00000000-0005-0000-0000-0000C81C0000}"/>
    <cellStyle name="Normal 8 2 3 3 4 3 2" xfId="14538" xr:uid="{E8812C13-1B86-4459-A9C3-1C30ECD789E4}"/>
    <cellStyle name="Normal 8 2 3 3 4 4" xfId="10320" xr:uid="{37FFC5A7-E0ED-4585-8993-BC1B23CBAE3F}"/>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2CEBAE51-0E16-403C-862E-E579F4376ADF}"/>
    <cellStyle name="Normal 8 2 3 3 5 2 3" xfId="12878" xr:uid="{1ABBC31C-ADE7-409C-B5AD-962FF8CAAA35}"/>
    <cellStyle name="Normal 8 2 3 3 5 3" xfId="6509" xr:uid="{00000000-0005-0000-0000-0000CC1C0000}"/>
    <cellStyle name="Normal 8 2 3 3 5 3 2" xfId="14951" xr:uid="{D0AD6AE2-5F09-4882-A948-24AADF632CA8}"/>
    <cellStyle name="Normal 8 2 3 3 5 4" xfId="10733" xr:uid="{925D1AD6-6679-4C7A-854A-65FE25E75584}"/>
    <cellStyle name="Normal 8 2 3 3 6" xfId="2638" xr:uid="{00000000-0005-0000-0000-0000CD1C0000}"/>
    <cellStyle name="Normal 8 2 3 3 6 2" xfId="6922" xr:uid="{00000000-0005-0000-0000-0000CE1C0000}"/>
    <cellStyle name="Normal 8 2 3 3 6 2 2" xfId="15364" xr:uid="{6A053AD7-FB16-4267-824E-76E86CB78C03}"/>
    <cellStyle name="Normal 8 2 3 3 6 3" xfId="11146" xr:uid="{C371B07A-F7CA-4CCD-BAAB-F157B8B28E4B}"/>
    <cellStyle name="Normal 8 2 3 3 7" xfId="4857" xr:uid="{00000000-0005-0000-0000-0000CF1C0000}"/>
    <cellStyle name="Normal 8 2 3 3 7 2" xfId="13299" xr:uid="{A4626C85-6DE5-4A02-B66C-E97D9505E2B2}"/>
    <cellStyle name="Normal 8 2 3 3 8" xfId="9081" xr:uid="{EC9F81CE-CFE7-494B-AF35-E90434BF2405}"/>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8EF9BDC7-72BF-4299-9588-F94ED2746896}"/>
    <cellStyle name="Normal 8 2 3 4 2 3" xfId="11636" xr:uid="{873F9697-5C56-4416-B86B-7C4A862235A6}"/>
    <cellStyle name="Normal 8 2 3 4 3" xfId="5267" xr:uid="{00000000-0005-0000-0000-0000D31C0000}"/>
    <cellStyle name="Normal 8 2 3 4 3 2" xfId="13709" xr:uid="{442CE37E-8DAC-48F1-AB55-4D7488835E08}"/>
    <cellStyle name="Normal 8 2 3 4 4" xfId="9491" xr:uid="{8AE32643-F235-4FD1-85CB-E6645DB86B28}"/>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FC145C75-9C92-4312-A72A-0297AD72C8DB}"/>
    <cellStyle name="Normal 8 2 3 5 2 3" xfId="12049" xr:uid="{3B8FF280-B86A-4BD6-9091-E5A994E9FFFB}"/>
    <cellStyle name="Normal 8 2 3 5 3" xfId="5680" xr:uid="{00000000-0005-0000-0000-0000D71C0000}"/>
    <cellStyle name="Normal 8 2 3 5 3 2" xfId="14122" xr:uid="{EAE61E04-3A0F-47F3-906D-99C771113262}"/>
    <cellStyle name="Normal 8 2 3 5 4" xfId="9904" xr:uid="{08169526-48DC-4CFB-9A9B-DF4AC649D3FD}"/>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381AFD57-5DC9-4FB1-BEE0-7160A05821D7}"/>
    <cellStyle name="Normal 8 2 3 6 2 3" xfId="12462" xr:uid="{181C629C-FC3D-43D0-A36B-8A116481BC28}"/>
    <cellStyle name="Normal 8 2 3 6 3" xfId="6093" xr:uid="{00000000-0005-0000-0000-0000DB1C0000}"/>
    <cellStyle name="Normal 8 2 3 6 3 2" xfId="14535" xr:uid="{F523D4AD-511B-4A84-AB6D-DF81D68DD5BE}"/>
    <cellStyle name="Normal 8 2 3 6 4" xfId="10317" xr:uid="{9F90A87B-01F9-4AFD-9F41-DE2EFB916519}"/>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9318092-A70A-441B-87AE-342BFBC78D81}"/>
    <cellStyle name="Normal 8 2 3 7 2 3" xfId="12875" xr:uid="{18D89C19-2E96-4342-8862-D2F78A38CBE6}"/>
    <cellStyle name="Normal 8 2 3 7 3" xfId="6506" xr:uid="{00000000-0005-0000-0000-0000DF1C0000}"/>
    <cellStyle name="Normal 8 2 3 7 3 2" xfId="14948" xr:uid="{6EEDF242-4FAB-4CAA-A009-80FA50932382}"/>
    <cellStyle name="Normal 8 2 3 7 4" xfId="10730" xr:uid="{16C7A442-F10D-499E-AE60-1C6582ED1350}"/>
    <cellStyle name="Normal 8 2 3 8" xfId="2635" xr:uid="{00000000-0005-0000-0000-0000E01C0000}"/>
    <cellStyle name="Normal 8 2 3 8 2" xfId="6919" xr:uid="{00000000-0005-0000-0000-0000E11C0000}"/>
    <cellStyle name="Normal 8 2 3 8 2 2" xfId="15361" xr:uid="{1FED1E5C-A7C0-455D-9848-52549551B68E}"/>
    <cellStyle name="Normal 8 2 3 8 3" xfId="11143" xr:uid="{49CFAE6C-AB52-4552-BD33-12A32C08325E}"/>
    <cellStyle name="Normal 8 2 3 9" xfId="4854" xr:uid="{00000000-0005-0000-0000-0000E21C0000}"/>
    <cellStyle name="Normal 8 2 3 9 2" xfId="13296" xr:uid="{62152F13-D44C-4A91-BEE9-D0757FE4A5D8}"/>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B68BE992-F69C-4241-9918-B1EC40BFC947}"/>
    <cellStyle name="Normal 8 2 4 2 2 2 3" xfId="11641" xr:uid="{FF695606-5E66-4FD7-A7CA-B539876B62A5}"/>
    <cellStyle name="Normal 8 2 4 2 2 3" xfId="5272" xr:uid="{00000000-0005-0000-0000-0000E81C0000}"/>
    <cellStyle name="Normal 8 2 4 2 2 3 2" xfId="13714" xr:uid="{D9B827F7-E404-41D7-9D0B-B2114FD1DDD3}"/>
    <cellStyle name="Normal 8 2 4 2 2 4" xfId="9496" xr:uid="{DB6255CE-3A4F-48FC-977C-25299A8AB08C}"/>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A3C7F412-D8FF-41D0-BD36-687BAA377167}"/>
    <cellStyle name="Normal 8 2 4 2 3 2 3" xfId="12054" xr:uid="{E834900A-C737-4904-87A9-881D2425EFA6}"/>
    <cellStyle name="Normal 8 2 4 2 3 3" xfId="5685" xr:uid="{00000000-0005-0000-0000-0000EC1C0000}"/>
    <cellStyle name="Normal 8 2 4 2 3 3 2" xfId="14127" xr:uid="{7CC81ED6-F264-431F-A6B2-094A04004D32}"/>
    <cellStyle name="Normal 8 2 4 2 3 4" xfId="9909" xr:uid="{6C4D17D3-8457-440F-A963-01DECC069962}"/>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9F8FAD5C-933E-4C29-9B80-1B92DB66C89D}"/>
    <cellStyle name="Normal 8 2 4 2 4 2 3" xfId="12467" xr:uid="{48D6D5B2-9B0E-4CFD-9BF1-4332862C258A}"/>
    <cellStyle name="Normal 8 2 4 2 4 3" xfId="6098" xr:uid="{00000000-0005-0000-0000-0000F01C0000}"/>
    <cellStyle name="Normal 8 2 4 2 4 3 2" xfId="14540" xr:uid="{84BF2C05-7861-45A6-B028-BCAE17E6D5F3}"/>
    <cellStyle name="Normal 8 2 4 2 4 4" xfId="10322" xr:uid="{3E5F2706-8D58-4E11-95B9-A703D6397317}"/>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481F2E7F-4C6E-4F43-8605-3BB32B042D8E}"/>
    <cellStyle name="Normal 8 2 4 2 5 2 3" xfId="12880" xr:uid="{04235D06-6F56-42E5-9DF4-B70AA3074669}"/>
    <cellStyle name="Normal 8 2 4 2 5 3" xfId="6511" xr:uid="{00000000-0005-0000-0000-0000F41C0000}"/>
    <cellStyle name="Normal 8 2 4 2 5 3 2" xfId="14953" xr:uid="{D6E8F112-8A48-47C0-97CA-6E0115E89371}"/>
    <cellStyle name="Normal 8 2 4 2 5 4" xfId="10735" xr:uid="{FDB6651D-114F-4184-9BF1-FE0A5DBD3E72}"/>
    <cellStyle name="Normal 8 2 4 2 6" xfId="2640" xr:uid="{00000000-0005-0000-0000-0000F51C0000}"/>
    <cellStyle name="Normal 8 2 4 2 6 2" xfId="6924" xr:uid="{00000000-0005-0000-0000-0000F61C0000}"/>
    <cellStyle name="Normal 8 2 4 2 6 2 2" xfId="15366" xr:uid="{03852935-94EA-4752-ADDF-6E76A741EB59}"/>
    <cellStyle name="Normal 8 2 4 2 6 3" xfId="11148" xr:uid="{59562BE1-1470-4AC0-A625-43E9B9A265DE}"/>
    <cellStyle name="Normal 8 2 4 2 7" xfId="4859" xr:uid="{00000000-0005-0000-0000-0000F71C0000}"/>
    <cellStyle name="Normal 8 2 4 2 7 2" xfId="13301" xr:uid="{2E1786A7-8DA6-4A90-93F7-43935249AB30}"/>
    <cellStyle name="Normal 8 2 4 2 8" xfId="9083" xr:uid="{57741F0E-76E5-463B-B375-B722FE6D734C}"/>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ED488270-1539-47B8-A8BE-5729B73592BA}"/>
    <cellStyle name="Normal 8 2 4 3 2 3" xfId="11640" xr:uid="{64F2A491-4230-44ED-AA6E-E51C8D1337D7}"/>
    <cellStyle name="Normal 8 2 4 3 3" xfId="5271" xr:uid="{00000000-0005-0000-0000-0000FB1C0000}"/>
    <cellStyle name="Normal 8 2 4 3 3 2" xfId="13713" xr:uid="{A8871CF2-508F-4E8E-8577-26B5C579B8FC}"/>
    <cellStyle name="Normal 8 2 4 3 4" xfId="9495" xr:uid="{7E9DA6C6-1137-4752-92B4-EDCAD849AE7F}"/>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6666A2DA-9BF9-4F87-958F-4C543008DEED}"/>
    <cellStyle name="Normal 8 2 4 4 2 3" xfId="12053" xr:uid="{B37E1005-B2C5-4BD8-91A1-CD662EDF7D92}"/>
    <cellStyle name="Normal 8 2 4 4 3" xfId="5684" xr:uid="{00000000-0005-0000-0000-0000FF1C0000}"/>
    <cellStyle name="Normal 8 2 4 4 3 2" xfId="14126" xr:uid="{8E578931-6585-438C-BC5D-FB4E5D227F4D}"/>
    <cellStyle name="Normal 8 2 4 4 4" xfId="9908" xr:uid="{1FC6EFC6-A9D2-4CEF-99A8-D8B63CE7780C}"/>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184EE574-C87F-4A4A-BC7B-D58BEAE48A64}"/>
    <cellStyle name="Normal 8 2 4 5 2 3" xfId="12466" xr:uid="{C1FAD20B-CD84-49A1-B1F2-347BA65C2B52}"/>
    <cellStyle name="Normal 8 2 4 5 3" xfId="6097" xr:uid="{00000000-0005-0000-0000-0000031D0000}"/>
    <cellStyle name="Normal 8 2 4 5 3 2" xfId="14539" xr:uid="{527A2FB6-E5B7-45DF-8918-A1F83191AE87}"/>
    <cellStyle name="Normal 8 2 4 5 4" xfId="10321" xr:uid="{8CFA90BE-242C-488A-82A1-3638F00E0537}"/>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E5132E65-902C-43EC-828D-CAC5295C3CE5}"/>
    <cellStyle name="Normal 8 2 4 6 2 3" xfId="12879" xr:uid="{6E9D8DC8-DA71-4430-816A-0F6B8F16EC75}"/>
    <cellStyle name="Normal 8 2 4 6 3" xfId="6510" xr:uid="{00000000-0005-0000-0000-0000071D0000}"/>
    <cellStyle name="Normal 8 2 4 6 3 2" xfId="14952" xr:uid="{A6A11A48-53ED-49B9-8AE5-B4739ED76B79}"/>
    <cellStyle name="Normal 8 2 4 6 4" xfId="10734" xr:uid="{BE488FD4-1003-4BBC-813B-3C0D9FB057F2}"/>
    <cellStyle name="Normal 8 2 4 7" xfId="2639" xr:uid="{00000000-0005-0000-0000-0000081D0000}"/>
    <cellStyle name="Normal 8 2 4 7 2" xfId="6923" xr:uid="{00000000-0005-0000-0000-0000091D0000}"/>
    <cellStyle name="Normal 8 2 4 7 2 2" xfId="15365" xr:uid="{355A117F-65FE-4437-AC89-62C1DEDCFD6E}"/>
    <cellStyle name="Normal 8 2 4 7 3" xfId="11147" xr:uid="{623587EB-4516-4FD5-A587-1E7A7A231884}"/>
    <cellStyle name="Normal 8 2 4 8" xfId="4858" xr:uid="{00000000-0005-0000-0000-00000A1D0000}"/>
    <cellStyle name="Normal 8 2 4 8 2" xfId="13300" xr:uid="{B20708A5-FE00-441A-9B52-C68762828FDE}"/>
    <cellStyle name="Normal 8 2 4 9" xfId="9082" xr:uid="{4F5CEB79-6589-402C-AA13-185CA5052015}"/>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83675AEB-CAEE-4299-9964-3A487B4A3A9E}"/>
    <cellStyle name="Normal 8 2 5 2 2 3" xfId="11642" xr:uid="{4E58D97C-B5B5-48B5-9657-46189DB0B7ED}"/>
    <cellStyle name="Normal 8 2 5 2 3" xfId="5273" xr:uid="{00000000-0005-0000-0000-00000F1D0000}"/>
    <cellStyle name="Normal 8 2 5 2 3 2" xfId="13715" xr:uid="{AEABA5BC-1699-4B5A-A7F7-5FFD370013D7}"/>
    <cellStyle name="Normal 8 2 5 2 4" xfId="9497" xr:uid="{A39E2CDB-18A0-4075-93EF-52F794E6AEE5}"/>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4CCFE85C-67AB-4BCB-AF7F-A0C83CDF0330}"/>
    <cellStyle name="Normal 8 2 5 3 2 3" xfId="12055" xr:uid="{104570C4-56BF-4943-98B9-FBE4B8DB9284}"/>
    <cellStyle name="Normal 8 2 5 3 3" xfId="5686" xr:uid="{00000000-0005-0000-0000-0000131D0000}"/>
    <cellStyle name="Normal 8 2 5 3 3 2" xfId="14128" xr:uid="{F724038A-0600-41B2-9C2D-58D23D9E742C}"/>
    <cellStyle name="Normal 8 2 5 3 4" xfId="9910" xr:uid="{74879F3F-FAB2-48FE-85B3-B88090FE8357}"/>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85226E57-45B9-4EB3-807A-DDA16C474765}"/>
    <cellStyle name="Normal 8 2 5 4 2 3" xfId="12468" xr:uid="{5FBF0C1A-CC07-4882-93CD-9730681E5C31}"/>
    <cellStyle name="Normal 8 2 5 4 3" xfId="6099" xr:uid="{00000000-0005-0000-0000-0000171D0000}"/>
    <cellStyle name="Normal 8 2 5 4 3 2" xfId="14541" xr:uid="{822A1054-6466-41A1-A237-690B3790D60D}"/>
    <cellStyle name="Normal 8 2 5 4 4" xfId="10323" xr:uid="{C454C1B6-685D-470A-808B-BB36A0E8CA40}"/>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ED661F0C-E2B4-4C74-8319-37A48112757A}"/>
    <cellStyle name="Normal 8 2 5 5 2 3" xfId="12881" xr:uid="{F23056BE-C129-41EB-A5A6-FF46929DCF98}"/>
    <cellStyle name="Normal 8 2 5 5 3" xfId="6512" xr:uid="{00000000-0005-0000-0000-00001B1D0000}"/>
    <cellStyle name="Normal 8 2 5 5 3 2" xfId="14954" xr:uid="{7118BB41-2E94-426B-925B-2AFA36E93F5C}"/>
    <cellStyle name="Normal 8 2 5 5 4" xfId="10736" xr:uid="{F9FA9C1A-658D-48F2-9623-6A8E584DBF6F}"/>
    <cellStyle name="Normal 8 2 5 6" xfId="2641" xr:uid="{00000000-0005-0000-0000-00001C1D0000}"/>
    <cellStyle name="Normal 8 2 5 6 2" xfId="6925" xr:uid="{00000000-0005-0000-0000-00001D1D0000}"/>
    <cellStyle name="Normal 8 2 5 6 2 2" xfId="15367" xr:uid="{BB93C9BC-19A3-4D3F-AB42-09134E89B214}"/>
    <cellStyle name="Normal 8 2 5 6 3" xfId="11149" xr:uid="{1D944F29-836B-4ED5-8614-0FC97540F4A0}"/>
    <cellStyle name="Normal 8 2 5 7" xfId="4860" xr:uid="{00000000-0005-0000-0000-00001E1D0000}"/>
    <cellStyle name="Normal 8 2 5 7 2" xfId="13302" xr:uid="{95446870-627E-4BEC-A267-D7E2B4800153}"/>
    <cellStyle name="Normal 8 2 5 8" xfId="9084" xr:uid="{F90A642B-8D54-4D0F-B4DD-9DD8DA2355E7}"/>
    <cellStyle name="Normal 8 2 6" xfId="946" xr:uid="{00000000-0005-0000-0000-00001F1D0000}"/>
    <cellStyle name="Normal 8 2 6 2" xfId="3180" xr:uid="{00000000-0005-0000-0000-0000201D0000}"/>
    <cellStyle name="Normal 8 2 6 2 2" xfId="7403" xr:uid="{00000000-0005-0000-0000-0000211D0000}"/>
    <cellStyle name="Normal 8 2 6 2 2 2" xfId="15845" xr:uid="{CE45BF71-E5F4-41C0-889D-7A4A16C3ECD5}"/>
    <cellStyle name="Normal 8 2 6 2 3" xfId="11627" xr:uid="{432824AD-381E-43A2-ADE4-A5DA97046AF2}"/>
    <cellStyle name="Normal 8 2 6 3" xfId="5258" xr:uid="{00000000-0005-0000-0000-0000221D0000}"/>
    <cellStyle name="Normal 8 2 6 3 2" xfId="13700" xr:uid="{3C9D1268-5051-47D8-BABF-D74BEABA4ED8}"/>
    <cellStyle name="Normal 8 2 6 4" xfId="9482" xr:uid="{37B15465-D4AA-482B-8C03-EF2D7BFC0D4B}"/>
    <cellStyle name="Normal 8 2 7" xfId="1363" xr:uid="{00000000-0005-0000-0000-0000231D0000}"/>
    <cellStyle name="Normal 8 2 7 2" xfId="3593" xr:uid="{00000000-0005-0000-0000-0000241D0000}"/>
    <cellStyle name="Normal 8 2 7 2 2" xfId="7816" xr:uid="{00000000-0005-0000-0000-0000251D0000}"/>
    <cellStyle name="Normal 8 2 7 2 2 2" xfId="16258" xr:uid="{FF881F7B-6EF7-4010-8D60-29A41BBE731E}"/>
    <cellStyle name="Normal 8 2 7 2 3" xfId="12040" xr:uid="{2AC01D4C-DB74-4DC3-B3F2-2DDF5F3217F2}"/>
    <cellStyle name="Normal 8 2 7 3" xfId="5671" xr:uid="{00000000-0005-0000-0000-0000261D0000}"/>
    <cellStyle name="Normal 8 2 7 3 2" xfId="14113" xr:uid="{14DCA1BA-7516-47D8-AA0A-8C7166D0D103}"/>
    <cellStyle name="Normal 8 2 7 4" xfId="9895" xr:uid="{A670562C-6DE6-41EC-8BA0-30C03D822E92}"/>
    <cellStyle name="Normal 8 2 8" xfId="1776" xr:uid="{00000000-0005-0000-0000-0000271D0000}"/>
    <cellStyle name="Normal 8 2 8 2" xfId="4006" xr:uid="{00000000-0005-0000-0000-0000281D0000}"/>
    <cellStyle name="Normal 8 2 8 2 2" xfId="8229" xr:uid="{00000000-0005-0000-0000-0000291D0000}"/>
    <cellStyle name="Normal 8 2 8 2 2 2" xfId="16671" xr:uid="{42BF360B-8651-40D5-9BD1-98EC1EEBA867}"/>
    <cellStyle name="Normal 8 2 8 2 3" xfId="12453" xr:uid="{D4D20167-7BE7-4E73-A444-F506B6E609FF}"/>
    <cellStyle name="Normal 8 2 8 3" xfId="6084" xr:uid="{00000000-0005-0000-0000-00002A1D0000}"/>
    <cellStyle name="Normal 8 2 8 3 2" xfId="14526" xr:uid="{A063CF72-DFDB-422D-82F3-0A7083E8BC04}"/>
    <cellStyle name="Normal 8 2 8 4" xfId="10308" xr:uid="{0F63CF56-0107-4198-95CA-797AFC91B61D}"/>
    <cellStyle name="Normal 8 2 9" xfId="2190" xr:uid="{00000000-0005-0000-0000-00002B1D0000}"/>
    <cellStyle name="Normal 8 2 9 2" xfId="4419" xr:uid="{00000000-0005-0000-0000-00002C1D0000}"/>
    <cellStyle name="Normal 8 2 9 2 2" xfId="8642" xr:uid="{00000000-0005-0000-0000-00002D1D0000}"/>
    <cellStyle name="Normal 8 2 9 2 2 2" xfId="17084" xr:uid="{815B50CB-AA6E-4FE5-861C-58935300CC4A}"/>
    <cellStyle name="Normal 8 2 9 2 3" xfId="12866" xr:uid="{1CDC3244-BC49-466B-94E8-5779D6ABDE83}"/>
    <cellStyle name="Normal 8 2 9 3" xfId="6497" xr:uid="{00000000-0005-0000-0000-00002E1D0000}"/>
    <cellStyle name="Normal 8 2 9 3 2" xfId="14939" xr:uid="{7542B01E-9D6F-45F9-89C9-879DB39D4C9F}"/>
    <cellStyle name="Normal 8 2 9 4" xfId="10721" xr:uid="{FC797075-7549-43B4-ACCF-F2F2F9F9F518}"/>
    <cellStyle name="Normal 8 3" xfId="495" xr:uid="{00000000-0005-0000-0000-00002F1D0000}"/>
    <cellStyle name="Normal 8 3 10" xfId="4861" xr:uid="{00000000-0005-0000-0000-0000301D0000}"/>
    <cellStyle name="Normal 8 3 10 2" xfId="13303" xr:uid="{20AFEFF1-8278-4A82-B181-EC18600E4C81}"/>
    <cellStyle name="Normal 8 3 11" xfId="9085" xr:uid="{D318C410-B88A-49E1-90F8-D675B5E0FACF}"/>
    <cellStyle name="Normal 8 3 2" xfId="496" xr:uid="{00000000-0005-0000-0000-0000311D0000}"/>
    <cellStyle name="Normal 8 3 2 10" xfId="9086" xr:uid="{ECC0D866-D47C-4256-8F63-61674F3FEFC3}"/>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0D928D0C-41C5-489A-B2AF-2F55215EAFB6}"/>
    <cellStyle name="Normal 8 3 2 2 2 2 2 3" xfId="11646" xr:uid="{FDFDF495-162A-4EF5-8CE5-67F7FFAA1757}"/>
    <cellStyle name="Normal 8 3 2 2 2 2 3" xfId="5277" xr:uid="{00000000-0005-0000-0000-0000371D0000}"/>
    <cellStyle name="Normal 8 3 2 2 2 2 3 2" xfId="13719" xr:uid="{AE73E08A-BAFE-4166-A8C2-2AC30D6E69DE}"/>
    <cellStyle name="Normal 8 3 2 2 2 2 4" xfId="9501" xr:uid="{F25F5407-00E2-4D91-941F-149B7F5FB35F}"/>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1A93CE58-8A21-4C3F-93B0-D3B271D049A6}"/>
    <cellStyle name="Normal 8 3 2 2 2 3 2 3" xfId="12059" xr:uid="{0BC63BE2-3279-443E-B80F-01D868659DE7}"/>
    <cellStyle name="Normal 8 3 2 2 2 3 3" xfId="5690" xr:uid="{00000000-0005-0000-0000-00003B1D0000}"/>
    <cellStyle name="Normal 8 3 2 2 2 3 3 2" xfId="14132" xr:uid="{464FD0FB-E8B4-4526-B514-4CAA8CB72D29}"/>
    <cellStyle name="Normal 8 3 2 2 2 3 4" xfId="9914" xr:uid="{2C8A73F0-1324-4BD1-A0AA-9802923D58BC}"/>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F308ACE0-16D5-4CDD-88A1-81C28DBCA836}"/>
    <cellStyle name="Normal 8 3 2 2 2 4 2 3" xfId="12472" xr:uid="{E6E91A5E-4E38-4A7D-BB86-EB64DC6A80D0}"/>
    <cellStyle name="Normal 8 3 2 2 2 4 3" xfId="6103" xr:uid="{00000000-0005-0000-0000-00003F1D0000}"/>
    <cellStyle name="Normal 8 3 2 2 2 4 3 2" xfId="14545" xr:uid="{55555EFB-2801-4AA3-A94B-1FEF118D832A}"/>
    <cellStyle name="Normal 8 3 2 2 2 4 4" xfId="10327" xr:uid="{D71758DC-F1F6-4C62-97A7-AA74C6C58519}"/>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8569D176-BC6D-407D-A745-1A65007E94D4}"/>
    <cellStyle name="Normal 8 3 2 2 2 5 2 3" xfId="12885" xr:uid="{296511B1-7FBA-4BA8-B14D-AD44E275255F}"/>
    <cellStyle name="Normal 8 3 2 2 2 5 3" xfId="6516" xr:uid="{00000000-0005-0000-0000-0000431D0000}"/>
    <cellStyle name="Normal 8 3 2 2 2 5 3 2" xfId="14958" xr:uid="{1679C7DF-A281-4C31-9639-9B0F20D42CB6}"/>
    <cellStyle name="Normal 8 3 2 2 2 5 4" xfId="10740" xr:uid="{9F775C71-488F-4A44-B485-16E29D17EBE6}"/>
    <cellStyle name="Normal 8 3 2 2 2 6" xfId="2645" xr:uid="{00000000-0005-0000-0000-0000441D0000}"/>
    <cellStyle name="Normal 8 3 2 2 2 6 2" xfId="6929" xr:uid="{00000000-0005-0000-0000-0000451D0000}"/>
    <cellStyle name="Normal 8 3 2 2 2 6 2 2" xfId="15371" xr:uid="{C8152747-5468-4047-9C2B-A0658C22DB24}"/>
    <cellStyle name="Normal 8 3 2 2 2 6 3" xfId="11153" xr:uid="{37FA84E7-549F-46E4-AE36-46A562436218}"/>
    <cellStyle name="Normal 8 3 2 2 2 7" xfId="4864" xr:uid="{00000000-0005-0000-0000-0000461D0000}"/>
    <cellStyle name="Normal 8 3 2 2 2 7 2" xfId="13306" xr:uid="{960053C9-3CD4-408C-87FD-27D0C83C78FD}"/>
    <cellStyle name="Normal 8 3 2 2 2 8" xfId="9088" xr:uid="{9CEDC572-4661-45A4-B6C9-4C311BA55A7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8513318F-1136-4416-BAE9-9F7532058B24}"/>
    <cellStyle name="Normal 8 3 2 2 3 2 3" xfId="11645" xr:uid="{FFE0A960-1FA3-4271-BD2C-C448ECA06B3D}"/>
    <cellStyle name="Normal 8 3 2 2 3 3" xfId="5276" xr:uid="{00000000-0005-0000-0000-00004A1D0000}"/>
    <cellStyle name="Normal 8 3 2 2 3 3 2" xfId="13718" xr:uid="{D9D015A4-8706-4F42-9C38-8DE63854FA9F}"/>
    <cellStyle name="Normal 8 3 2 2 3 4" xfId="9500" xr:uid="{6041D63C-CCE1-43F3-AD06-156F098412C8}"/>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5AA3E600-08E6-426A-A907-5C2EA35CF67D}"/>
    <cellStyle name="Normal 8 3 2 2 4 2 3" xfId="12058" xr:uid="{5EBB126C-2A81-42EF-89EF-E05731FBD5EA}"/>
    <cellStyle name="Normal 8 3 2 2 4 3" xfId="5689" xr:uid="{00000000-0005-0000-0000-00004E1D0000}"/>
    <cellStyle name="Normal 8 3 2 2 4 3 2" xfId="14131" xr:uid="{67DBBEAF-D09A-4A52-808F-CB8B029953F1}"/>
    <cellStyle name="Normal 8 3 2 2 4 4" xfId="9913" xr:uid="{8A974FB9-E352-4E67-BF20-B9965C763744}"/>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5057A583-8D1A-432B-82FA-6E7119B7F92F}"/>
    <cellStyle name="Normal 8 3 2 2 5 2 3" xfId="12471" xr:uid="{68B2D68F-DEAB-47CA-9B74-DE033FD9BCC4}"/>
    <cellStyle name="Normal 8 3 2 2 5 3" xfId="6102" xr:uid="{00000000-0005-0000-0000-0000521D0000}"/>
    <cellStyle name="Normal 8 3 2 2 5 3 2" xfId="14544" xr:uid="{E7B93E6D-73F5-4EA9-A9B0-B16B3B0FF344}"/>
    <cellStyle name="Normal 8 3 2 2 5 4" xfId="10326" xr:uid="{078F0243-2F31-4291-9887-5EBBE60A3AD3}"/>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275E4678-A37B-4200-8168-39659623D558}"/>
    <cellStyle name="Normal 8 3 2 2 6 2 3" xfId="12884" xr:uid="{3AED4975-52DA-4991-8AFA-56590511C89C}"/>
    <cellStyle name="Normal 8 3 2 2 6 3" xfId="6515" xr:uid="{00000000-0005-0000-0000-0000561D0000}"/>
    <cellStyle name="Normal 8 3 2 2 6 3 2" xfId="14957" xr:uid="{9E2453E8-2F74-44EC-B35B-8E9109BDE39B}"/>
    <cellStyle name="Normal 8 3 2 2 6 4" xfId="10739" xr:uid="{68E38C2A-8972-4746-9FA6-731557525B7B}"/>
    <cellStyle name="Normal 8 3 2 2 7" xfId="2644" xr:uid="{00000000-0005-0000-0000-0000571D0000}"/>
    <cellStyle name="Normal 8 3 2 2 7 2" xfId="6928" xr:uid="{00000000-0005-0000-0000-0000581D0000}"/>
    <cellStyle name="Normal 8 3 2 2 7 2 2" xfId="15370" xr:uid="{8210E89C-FB32-402E-B84F-59FDB106009E}"/>
    <cellStyle name="Normal 8 3 2 2 7 3" xfId="11152" xr:uid="{24CFB68A-D4DD-49E2-9254-C0A6C60AD9EE}"/>
    <cellStyle name="Normal 8 3 2 2 8" xfId="4863" xr:uid="{00000000-0005-0000-0000-0000591D0000}"/>
    <cellStyle name="Normal 8 3 2 2 8 2" xfId="13305" xr:uid="{2E53792D-F914-4506-B956-264B6BD4A019}"/>
    <cellStyle name="Normal 8 3 2 2 9" xfId="9087" xr:uid="{8343F8D2-B8FD-4EDB-9259-BD118696493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067CC8B3-EBB2-4A54-8763-944AA2396016}"/>
    <cellStyle name="Normal 8 3 2 3 2 2 3" xfId="11647" xr:uid="{6BE45E9A-1F4B-4DED-8E43-E8EBEA428BCE}"/>
    <cellStyle name="Normal 8 3 2 3 2 3" xfId="5278" xr:uid="{00000000-0005-0000-0000-00005E1D0000}"/>
    <cellStyle name="Normal 8 3 2 3 2 3 2" xfId="13720" xr:uid="{BBAFFE64-E197-4C19-B924-7C0365CA68AA}"/>
    <cellStyle name="Normal 8 3 2 3 2 4" xfId="9502" xr:uid="{C1A105DA-A6F2-4149-BC7D-5720078D50B4}"/>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9EF57294-9F8B-4EA0-A59D-FC2E99732BD0}"/>
    <cellStyle name="Normal 8 3 2 3 3 2 3" xfId="12060" xr:uid="{4AF04C0F-9C2E-4AEE-B7DD-6EB36862564A}"/>
    <cellStyle name="Normal 8 3 2 3 3 3" xfId="5691" xr:uid="{00000000-0005-0000-0000-0000621D0000}"/>
    <cellStyle name="Normal 8 3 2 3 3 3 2" xfId="14133" xr:uid="{1A75ABD3-79AB-4CC3-8D8B-CD9ABC154680}"/>
    <cellStyle name="Normal 8 3 2 3 3 4" xfId="9915" xr:uid="{89762120-9E61-460D-B4B9-A9F56479598E}"/>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098B5D02-3D7C-44B8-9FA0-C273B77627C0}"/>
    <cellStyle name="Normal 8 3 2 3 4 2 3" xfId="12473" xr:uid="{0B92D337-DF93-46DA-9187-F69F80C77B3A}"/>
    <cellStyle name="Normal 8 3 2 3 4 3" xfId="6104" xr:uid="{00000000-0005-0000-0000-0000661D0000}"/>
    <cellStyle name="Normal 8 3 2 3 4 3 2" xfId="14546" xr:uid="{DA243319-6F5D-48FB-BE5E-4AA73D78CFBE}"/>
    <cellStyle name="Normal 8 3 2 3 4 4" xfId="10328" xr:uid="{A964CA8C-CD04-4CFB-B429-1640A78FF3E8}"/>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ECA3B659-5E49-405F-AC34-2B61F1CC4BB8}"/>
    <cellStyle name="Normal 8 3 2 3 5 2 3" xfId="12886" xr:uid="{1839ED32-F89B-4EC0-9831-3DD82E515EAA}"/>
    <cellStyle name="Normal 8 3 2 3 5 3" xfId="6517" xr:uid="{00000000-0005-0000-0000-00006A1D0000}"/>
    <cellStyle name="Normal 8 3 2 3 5 3 2" xfId="14959" xr:uid="{6BD4A417-28E2-4D90-B865-21D212F2F88E}"/>
    <cellStyle name="Normal 8 3 2 3 5 4" xfId="10741" xr:uid="{B0078782-3DAC-4271-8D52-79FDEF0B85CF}"/>
    <cellStyle name="Normal 8 3 2 3 6" xfId="2646" xr:uid="{00000000-0005-0000-0000-00006B1D0000}"/>
    <cellStyle name="Normal 8 3 2 3 6 2" xfId="6930" xr:uid="{00000000-0005-0000-0000-00006C1D0000}"/>
    <cellStyle name="Normal 8 3 2 3 6 2 2" xfId="15372" xr:uid="{B45409FB-DD49-4FB8-814E-0E3689ECBE0B}"/>
    <cellStyle name="Normal 8 3 2 3 6 3" xfId="11154" xr:uid="{F2151DF5-D2A9-4087-9D44-E4EE8490CD32}"/>
    <cellStyle name="Normal 8 3 2 3 7" xfId="4865" xr:uid="{00000000-0005-0000-0000-00006D1D0000}"/>
    <cellStyle name="Normal 8 3 2 3 7 2" xfId="13307" xr:uid="{1FB83396-3435-4F4D-98F8-FB74777C9052}"/>
    <cellStyle name="Normal 8 3 2 3 8" xfId="9089" xr:uid="{9CFCA093-BB5B-48BD-BC31-64B36CEBBB30}"/>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3B98AC30-3D35-475E-A7D9-F38281059AC7}"/>
    <cellStyle name="Normal 8 3 2 4 2 3" xfId="11644" xr:uid="{E771D210-B408-4130-A061-2F8A57D99A96}"/>
    <cellStyle name="Normal 8 3 2 4 3" xfId="5275" xr:uid="{00000000-0005-0000-0000-0000711D0000}"/>
    <cellStyle name="Normal 8 3 2 4 3 2" xfId="13717" xr:uid="{8A425898-ED53-46F1-9489-444E7EFFBE14}"/>
    <cellStyle name="Normal 8 3 2 4 4" xfId="9499" xr:uid="{2A1C4136-7F98-4254-B6B8-52F551542816}"/>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9204AE04-8256-4A5B-9676-DCFCB01F4C51}"/>
    <cellStyle name="Normal 8 3 2 5 2 3" xfId="12057" xr:uid="{F97A07D8-6535-41A7-839B-4A88EBB42C2A}"/>
    <cellStyle name="Normal 8 3 2 5 3" xfId="5688" xr:uid="{00000000-0005-0000-0000-0000751D0000}"/>
    <cellStyle name="Normal 8 3 2 5 3 2" xfId="14130" xr:uid="{4E38AD7F-9BC2-416F-9F47-4D6F19A7B33D}"/>
    <cellStyle name="Normal 8 3 2 5 4" xfId="9912" xr:uid="{4B4EB609-9718-43AE-B317-F1F872B289D1}"/>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BA956BD1-56E1-4BE9-9225-73BCDCA8075D}"/>
    <cellStyle name="Normal 8 3 2 6 2 3" xfId="12470" xr:uid="{8A2FCF3C-912E-4CA0-9B4C-A6FD8F505F55}"/>
    <cellStyle name="Normal 8 3 2 6 3" xfId="6101" xr:uid="{00000000-0005-0000-0000-0000791D0000}"/>
    <cellStyle name="Normal 8 3 2 6 3 2" xfId="14543" xr:uid="{4128F9B4-1E64-4746-83F2-493F7FA90422}"/>
    <cellStyle name="Normal 8 3 2 6 4" xfId="10325" xr:uid="{21F15C96-42DA-4E04-8A26-01DACC7862AA}"/>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99D682A2-CB83-4C8A-BF19-32FD2A6BC2F5}"/>
    <cellStyle name="Normal 8 3 2 7 2 3" xfId="12883" xr:uid="{ADD7CF6A-5AE6-43B4-B984-2F35F40354D9}"/>
    <cellStyle name="Normal 8 3 2 7 3" xfId="6514" xr:uid="{00000000-0005-0000-0000-00007D1D0000}"/>
    <cellStyle name="Normal 8 3 2 7 3 2" xfId="14956" xr:uid="{EE003CC6-091E-4150-8967-C9616D60181C}"/>
    <cellStyle name="Normal 8 3 2 7 4" xfId="10738" xr:uid="{1B922542-1EA3-4286-BB44-95EF54E6BF0E}"/>
    <cellStyle name="Normal 8 3 2 8" xfId="2643" xr:uid="{00000000-0005-0000-0000-00007E1D0000}"/>
    <cellStyle name="Normal 8 3 2 8 2" xfId="6927" xr:uid="{00000000-0005-0000-0000-00007F1D0000}"/>
    <cellStyle name="Normal 8 3 2 8 2 2" xfId="15369" xr:uid="{721B8EC1-1F16-4569-90F9-B0B1F3D9BA36}"/>
    <cellStyle name="Normal 8 3 2 8 3" xfId="11151" xr:uid="{BFCF34DC-0A49-47FF-AFC7-F8EC9C1F1E13}"/>
    <cellStyle name="Normal 8 3 2 9" xfId="4862" xr:uid="{00000000-0005-0000-0000-0000801D0000}"/>
    <cellStyle name="Normal 8 3 2 9 2" xfId="13304" xr:uid="{D552767D-8601-4BB7-8C83-49594B159D18}"/>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C7851401-C4D8-4152-BDD9-03E3CC462277}"/>
    <cellStyle name="Normal 8 3 3 2 2 2 3" xfId="11649" xr:uid="{EC2713EA-3077-4D31-A243-82C498AEF20E}"/>
    <cellStyle name="Normal 8 3 3 2 2 3" xfId="5280" xr:uid="{00000000-0005-0000-0000-0000861D0000}"/>
    <cellStyle name="Normal 8 3 3 2 2 3 2" xfId="13722" xr:uid="{C228B22A-C207-4181-A258-143FCBCFE281}"/>
    <cellStyle name="Normal 8 3 3 2 2 4" xfId="9504" xr:uid="{16BE47ED-9E8C-4902-9AD7-C10F12BCF8DB}"/>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1C289F1A-11C0-4FAD-B5E1-504A695326AA}"/>
    <cellStyle name="Normal 8 3 3 2 3 2 3" xfId="12062" xr:uid="{67542C52-EEC2-4D09-9059-4C84D75A3758}"/>
    <cellStyle name="Normal 8 3 3 2 3 3" xfId="5693" xr:uid="{00000000-0005-0000-0000-00008A1D0000}"/>
    <cellStyle name="Normal 8 3 3 2 3 3 2" xfId="14135" xr:uid="{BCA6C938-1837-4BED-9A48-50D696DAA275}"/>
    <cellStyle name="Normal 8 3 3 2 3 4" xfId="9917" xr:uid="{73C27B1F-4E4B-4577-9795-4CF3E11669AC}"/>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774BCE0A-8253-4782-808D-87873B47F6DE}"/>
    <cellStyle name="Normal 8 3 3 2 4 2 3" xfId="12475" xr:uid="{D1194ED0-8C02-4414-B820-D9E614C06B58}"/>
    <cellStyle name="Normal 8 3 3 2 4 3" xfId="6106" xr:uid="{00000000-0005-0000-0000-00008E1D0000}"/>
    <cellStyle name="Normal 8 3 3 2 4 3 2" xfId="14548" xr:uid="{819143F2-A9F1-4FB4-BC92-BBF0E4B291B8}"/>
    <cellStyle name="Normal 8 3 3 2 4 4" xfId="10330" xr:uid="{930386C1-B443-4B99-B0A8-930613E6671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BD01296A-AE57-42F6-9661-160DD91821F3}"/>
    <cellStyle name="Normal 8 3 3 2 5 2 3" xfId="12888" xr:uid="{B705C4D5-8FC5-47CF-BC7E-5B4D47DDCF49}"/>
    <cellStyle name="Normal 8 3 3 2 5 3" xfId="6519" xr:uid="{00000000-0005-0000-0000-0000921D0000}"/>
    <cellStyle name="Normal 8 3 3 2 5 3 2" xfId="14961" xr:uid="{B9B4E6D2-5CDC-4832-87DB-9AFCA6724A27}"/>
    <cellStyle name="Normal 8 3 3 2 5 4" xfId="10743" xr:uid="{2BE6A760-A5C6-4F5F-BEFE-E306F88DEE24}"/>
    <cellStyle name="Normal 8 3 3 2 6" xfId="2648" xr:uid="{00000000-0005-0000-0000-0000931D0000}"/>
    <cellStyle name="Normal 8 3 3 2 6 2" xfId="6932" xr:uid="{00000000-0005-0000-0000-0000941D0000}"/>
    <cellStyle name="Normal 8 3 3 2 6 2 2" xfId="15374" xr:uid="{ACEC13C9-AD29-4713-803D-5CD5762BF2E3}"/>
    <cellStyle name="Normal 8 3 3 2 6 3" xfId="11156" xr:uid="{484828D2-56CD-4CAA-B653-484D1E0C03C0}"/>
    <cellStyle name="Normal 8 3 3 2 7" xfId="4867" xr:uid="{00000000-0005-0000-0000-0000951D0000}"/>
    <cellStyle name="Normal 8 3 3 2 7 2" xfId="13309" xr:uid="{6176F1D0-D454-4FA6-B8FA-1082F384B687}"/>
    <cellStyle name="Normal 8 3 3 2 8" xfId="9091" xr:uid="{16E75590-4FF0-4CF3-AF38-BAEBE8553347}"/>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DAC907D1-5A00-4372-9D00-DEF72231D801}"/>
    <cellStyle name="Normal 8 3 3 3 2 3" xfId="11648" xr:uid="{32ABABAB-5DB3-420A-B8FB-FFD10BCB211B}"/>
    <cellStyle name="Normal 8 3 3 3 3" xfId="5279" xr:uid="{00000000-0005-0000-0000-0000991D0000}"/>
    <cellStyle name="Normal 8 3 3 3 3 2" xfId="13721" xr:uid="{4171D6DD-7FF8-4192-AD12-0B7A98ED2885}"/>
    <cellStyle name="Normal 8 3 3 3 4" xfId="9503" xr:uid="{B3F8EF86-FC49-4850-A71D-3CCAEB4AD1A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91A9F3B-1BF4-48B8-9060-B3CF1E7BD625}"/>
    <cellStyle name="Normal 8 3 3 4 2 3" xfId="12061" xr:uid="{4F78B8C2-0052-4DC3-93D7-C23CBC57CE31}"/>
    <cellStyle name="Normal 8 3 3 4 3" xfId="5692" xr:uid="{00000000-0005-0000-0000-00009D1D0000}"/>
    <cellStyle name="Normal 8 3 3 4 3 2" xfId="14134" xr:uid="{33D33A60-A3C2-480F-B5A5-C820F696FB26}"/>
    <cellStyle name="Normal 8 3 3 4 4" xfId="9916" xr:uid="{A251C0A0-F803-41C9-9C1D-8E0D0BE3740F}"/>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AAC84BBE-9A7C-4FEC-AFA7-B343B2AB609F}"/>
    <cellStyle name="Normal 8 3 3 5 2 3" xfId="12474" xr:uid="{BBA7B42C-4FE1-4172-B34A-63CB617BF8AA}"/>
    <cellStyle name="Normal 8 3 3 5 3" xfId="6105" xr:uid="{00000000-0005-0000-0000-0000A11D0000}"/>
    <cellStyle name="Normal 8 3 3 5 3 2" xfId="14547" xr:uid="{A7E4B193-468D-44FE-BB8B-039230FAB774}"/>
    <cellStyle name="Normal 8 3 3 5 4" xfId="10329" xr:uid="{CB2C33F5-3193-4EFE-AEC6-02142A722BEA}"/>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B4041D1D-5706-4B09-8C65-EBAE77A8659A}"/>
    <cellStyle name="Normal 8 3 3 6 2 3" xfId="12887" xr:uid="{B70BC7D2-7D5C-44AD-974B-BF08F85889E9}"/>
    <cellStyle name="Normal 8 3 3 6 3" xfId="6518" xr:uid="{00000000-0005-0000-0000-0000A51D0000}"/>
    <cellStyle name="Normal 8 3 3 6 3 2" xfId="14960" xr:uid="{67C1FA08-1DC0-402C-B87D-925A4F6FC786}"/>
    <cellStyle name="Normal 8 3 3 6 4" xfId="10742" xr:uid="{499347D0-A16B-4C89-B25B-A313D79801B4}"/>
    <cellStyle name="Normal 8 3 3 7" xfId="2647" xr:uid="{00000000-0005-0000-0000-0000A61D0000}"/>
    <cellStyle name="Normal 8 3 3 7 2" xfId="6931" xr:uid="{00000000-0005-0000-0000-0000A71D0000}"/>
    <cellStyle name="Normal 8 3 3 7 2 2" xfId="15373" xr:uid="{8E492D70-57E4-48EE-BFCF-D21E97A07A36}"/>
    <cellStyle name="Normal 8 3 3 7 3" xfId="11155" xr:uid="{14ED188C-8F9D-4F74-B849-9609727C92B9}"/>
    <cellStyle name="Normal 8 3 3 8" xfId="4866" xr:uid="{00000000-0005-0000-0000-0000A81D0000}"/>
    <cellStyle name="Normal 8 3 3 8 2" xfId="13308" xr:uid="{926FD783-6F68-43E7-91FC-75A3C8F91595}"/>
    <cellStyle name="Normal 8 3 3 9" xfId="9090" xr:uid="{E6C4CFC2-5E1D-4FA0-A463-BEB900FBE1D5}"/>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AF72FABE-1360-4142-803A-2552BA3092F5}"/>
    <cellStyle name="Normal 8 3 4 2 2 3" xfId="11650" xr:uid="{4174332B-42E7-42AD-83A4-ACD4D7912AEE}"/>
    <cellStyle name="Normal 8 3 4 2 3" xfId="5281" xr:uid="{00000000-0005-0000-0000-0000AD1D0000}"/>
    <cellStyle name="Normal 8 3 4 2 3 2" xfId="13723" xr:uid="{4D9023E7-19D7-4585-BD86-F99C8451875A}"/>
    <cellStyle name="Normal 8 3 4 2 4" xfId="9505" xr:uid="{C72A6AA0-B50E-43D0-8AFC-2FDEA1F36164}"/>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1745C5D2-11A0-46A8-9A21-04A99E351B09}"/>
    <cellStyle name="Normal 8 3 4 3 2 3" xfId="12063" xr:uid="{E1C80802-8B23-4763-8469-1D836B289C99}"/>
    <cellStyle name="Normal 8 3 4 3 3" xfId="5694" xr:uid="{00000000-0005-0000-0000-0000B11D0000}"/>
    <cellStyle name="Normal 8 3 4 3 3 2" xfId="14136" xr:uid="{803C98EE-8F31-49AC-8EAD-39CDD78888C3}"/>
    <cellStyle name="Normal 8 3 4 3 4" xfId="9918" xr:uid="{B8F2F6AD-6B8E-49E6-A1AB-2BBA9DF31AA0}"/>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4663C850-3E3A-41E2-A6B4-B6802580B531}"/>
    <cellStyle name="Normal 8 3 4 4 2 3" xfId="12476" xr:uid="{C304DF2B-3EEF-4429-9E7A-A886A964D19C}"/>
    <cellStyle name="Normal 8 3 4 4 3" xfId="6107" xr:uid="{00000000-0005-0000-0000-0000B51D0000}"/>
    <cellStyle name="Normal 8 3 4 4 3 2" xfId="14549" xr:uid="{2A119BA0-0288-477F-A97B-83BB062E2629}"/>
    <cellStyle name="Normal 8 3 4 4 4" xfId="10331" xr:uid="{FD625363-6C70-41C8-902C-D862EBF34025}"/>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A4D4C2A3-F0F7-40EF-A3CD-743B7CEC991D}"/>
    <cellStyle name="Normal 8 3 4 5 2 3" xfId="12889" xr:uid="{339D2457-5D5A-4AB0-A9FF-6AFF310E4576}"/>
    <cellStyle name="Normal 8 3 4 5 3" xfId="6520" xr:uid="{00000000-0005-0000-0000-0000B91D0000}"/>
    <cellStyle name="Normal 8 3 4 5 3 2" xfId="14962" xr:uid="{9E7C352C-CC7A-4AC3-9E35-31FE51F3E291}"/>
    <cellStyle name="Normal 8 3 4 5 4" xfId="10744" xr:uid="{4B248557-74E9-48FB-BCFF-0358D9BFF076}"/>
    <cellStyle name="Normal 8 3 4 6" xfId="2649" xr:uid="{00000000-0005-0000-0000-0000BA1D0000}"/>
    <cellStyle name="Normal 8 3 4 6 2" xfId="6933" xr:uid="{00000000-0005-0000-0000-0000BB1D0000}"/>
    <cellStyle name="Normal 8 3 4 6 2 2" xfId="15375" xr:uid="{E2376DF5-981F-4511-B2A9-1E41044016CA}"/>
    <cellStyle name="Normal 8 3 4 6 3" xfId="11157" xr:uid="{350F3696-1E1A-4129-B447-58935F968CA7}"/>
    <cellStyle name="Normal 8 3 4 7" xfId="4868" xr:uid="{00000000-0005-0000-0000-0000BC1D0000}"/>
    <cellStyle name="Normal 8 3 4 7 2" xfId="13310" xr:uid="{4C53690F-13A4-4F67-9EC6-31595A6E24A4}"/>
    <cellStyle name="Normal 8 3 4 8" xfId="9092" xr:uid="{5C50F4DF-01D7-4078-AEB0-80C492CD9E13}"/>
    <cellStyle name="Normal 8 3 5" xfId="962" xr:uid="{00000000-0005-0000-0000-0000BD1D0000}"/>
    <cellStyle name="Normal 8 3 5 2" xfId="3196" xr:uid="{00000000-0005-0000-0000-0000BE1D0000}"/>
    <cellStyle name="Normal 8 3 5 2 2" xfId="7419" xr:uid="{00000000-0005-0000-0000-0000BF1D0000}"/>
    <cellStyle name="Normal 8 3 5 2 2 2" xfId="15861" xr:uid="{9475B024-9B68-4E5F-B909-BB231FB4ADC8}"/>
    <cellStyle name="Normal 8 3 5 2 3" xfId="11643" xr:uid="{7D0C3113-1130-47B7-ABD5-E06DA654CE85}"/>
    <cellStyle name="Normal 8 3 5 3" xfId="5274" xr:uid="{00000000-0005-0000-0000-0000C01D0000}"/>
    <cellStyle name="Normal 8 3 5 3 2" xfId="13716" xr:uid="{DBA7B131-894A-4BB7-AD1D-D3B873485D95}"/>
    <cellStyle name="Normal 8 3 5 4" xfId="9498" xr:uid="{A0F6CB9E-1695-4AA9-A440-8D3A02A6E826}"/>
    <cellStyle name="Normal 8 3 6" xfId="1379" xr:uid="{00000000-0005-0000-0000-0000C11D0000}"/>
    <cellStyle name="Normal 8 3 6 2" xfId="3609" xr:uid="{00000000-0005-0000-0000-0000C21D0000}"/>
    <cellStyle name="Normal 8 3 6 2 2" xfId="7832" xr:uid="{00000000-0005-0000-0000-0000C31D0000}"/>
    <cellStyle name="Normal 8 3 6 2 2 2" xfId="16274" xr:uid="{8A858F75-FFF3-4243-95D9-E7003B191856}"/>
    <cellStyle name="Normal 8 3 6 2 3" xfId="12056" xr:uid="{59CBBC04-6046-4805-9029-E07408D59D41}"/>
    <cellStyle name="Normal 8 3 6 3" xfId="5687" xr:uid="{00000000-0005-0000-0000-0000C41D0000}"/>
    <cellStyle name="Normal 8 3 6 3 2" xfId="14129" xr:uid="{A860DF0F-8849-4CAF-A154-818394D5A2E1}"/>
    <cellStyle name="Normal 8 3 6 4" xfId="9911" xr:uid="{80CE6B6B-2911-46C3-9057-EC802D7E8620}"/>
    <cellStyle name="Normal 8 3 7" xfId="1792" xr:uid="{00000000-0005-0000-0000-0000C51D0000}"/>
    <cellStyle name="Normal 8 3 7 2" xfId="4022" xr:uid="{00000000-0005-0000-0000-0000C61D0000}"/>
    <cellStyle name="Normal 8 3 7 2 2" xfId="8245" xr:uid="{00000000-0005-0000-0000-0000C71D0000}"/>
    <cellStyle name="Normal 8 3 7 2 2 2" xfId="16687" xr:uid="{A963A322-3DB7-4BBA-BAD0-5255C22B2889}"/>
    <cellStyle name="Normal 8 3 7 2 3" xfId="12469" xr:uid="{CAE274AE-1EAA-4FC0-8934-72BBC7013710}"/>
    <cellStyle name="Normal 8 3 7 3" xfId="6100" xr:uid="{00000000-0005-0000-0000-0000C81D0000}"/>
    <cellStyle name="Normal 8 3 7 3 2" xfId="14542" xr:uid="{321EB608-A1A5-40A5-A9A3-3E6B4D6ABD53}"/>
    <cellStyle name="Normal 8 3 7 4" xfId="10324" xr:uid="{1DB45358-0877-4B2F-8E01-6D73433058B8}"/>
    <cellStyle name="Normal 8 3 8" xfId="2206" xr:uid="{00000000-0005-0000-0000-0000C91D0000}"/>
    <cellStyle name="Normal 8 3 8 2" xfId="4435" xr:uid="{00000000-0005-0000-0000-0000CA1D0000}"/>
    <cellStyle name="Normal 8 3 8 2 2" xfId="8658" xr:uid="{00000000-0005-0000-0000-0000CB1D0000}"/>
    <cellStyle name="Normal 8 3 8 2 2 2" xfId="17100" xr:uid="{8481E6E5-E9AE-4332-9CCF-55FBC8A0D6AB}"/>
    <cellStyle name="Normal 8 3 8 2 3" xfId="12882" xr:uid="{21716D17-8B3A-4BAD-A230-489EB45A2F29}"/>
    <cellStyle name="Normal 8 3 8 3" xfId="6513" xr:uid="{00000000-0005-0000-0000-0000CC1D0000}"/>
    <cellStyle name="Normal 8 3 8 3 2" xfId="14955" xr:uid="{F9C66E22-323B-4568-963E-445A9B9B9A81}"/>
    <cellStyle name="Normal 8 3 8 4" xfId="10737" xr:uid="{9132E7B8-8C5D-4F2F-8139-63CE901D8332}"/>
    <cellStyle name="Normal 8 3 9" xfId="2642" xr:uid="{00000000-0005-0000-0000-0000CD1D0000}"/>
    <cellStyle name="Normal 8 3 9 2" xfId="6926" xr:uid="{00000000-0005-0000-0000-0000CE1D0000}"/>
    <cellStyle name="Normal 8 3 9 2 2" xfId="15368" xr:uid="{2C758B4C-9565-436E-A202-082DB2F3D080}"/>
    <cellStyle name="Normal 8 3 9 3" xfId="11150" xr:uid="{1FA9FD02-398A-476A-A412-2E38BDB9F649}"/>
    <cellStyle name="Normal 8 4" xfId="503" xr:uid="{00000000-0005-0000-0000-0000CF1D0000}"/>
    <cellStyle name="Normal 8 4 10" xfId="9093" xr:uid="{92AF737D-9190-4321-A622-DF2295381CCC}"/>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4798B413-6478-465D-97A9-08577BDFFE83}"/>
    <cellStyle name="Normal 8 4 2 2 2 2 3" xfId="11653" xr:uid="{67A4868F-F6CC-4196-BE1B-0B6D94454712}"/>
    <cellStyle name="Normal 8 4 2 2 2 3" xfId="5284" xr:uid="{00000000-0005-0000-0000-0000D51D0000}"/>
    <cellStyle name="Normal 8 4 2 2 2 3 2" xfId="13726" xr:uid="{9C2CCD86-A8CC-4FD1-9BAB-2C6940711D93}"/>
    <cellStyle name="Normal 8 4 2 2 2 4" xfId="9508" xr:uid="{CA947BF0-263C-407E-8E14-FD757CA9CF8D}"/>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B2966C6F-8618-49D1-A818-CE8AFC5F1798}"/>
    <cellStyle name="Normal 8 4 2 2 3 2 3" xfId="12066" xr:uid="{1DE5C365-D568-411F-8ECB-9D4BB07F816D}"/>
    <cellStyle name="Normal 8 4 2 2 3 3" xfId="5697" xr:uid="{00000000-0005-0000-0000-0000D91D0000}"/>
    <cellStyle name="Normal 8 4 2 2 3 3 2" xfId="14139" xr:uid="{257555A7-AFF4-45B5-B02D-4B004C277536}"/>
    <cellStyle name="Normal 8 4 2 2 3 4" xfId="9921" xr:uid="{9AB78243-6E73-43B6-B42D-E0D1C11DC33E}"/>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C0055671-55DB-446E-90D2-21FEC4F884E8}"/>
    <cellStyle name="Normal 8 4 2 2 4 2 3" xfId="12479" xr:uid="{7F35AF7A-9C46-4CF2-8406-79369A4C2212}"/>
    <cellStyle name="Normal 8 4 2 2 4 3" xfId="6110" xr:uid="{00000000-0005-0000-0000-0000DD1D0000}"/>
    <cellStyle name="Normal 8 4 2 2 4 3 2" xfId="14552" xr:uid="{5DAEF6E5-42F2-4D41-92B8-5D95D361DC2A}"/>
    <cellStyle name="Normal 8 4 2 2 4 4" xfId="10334" xr:uid="{E6CEFCAB-7A1B-4A82-8826-15B7F2ECF4DF}"/>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C54F94F0-1BFF-4995-B130-6561784CD5DF}"/>
    <cellStyle name="Normal 8 4 2 2 5 2 3" xfId="12892" xr:uid="{DA9AB388-4C56-49E6-9E9F-964C40E2745D}"/>
    <cellStyle name="Normal 8 4 2 2 5 3" xfId="6523" xr:uid="{00000000-0005-0000-0000-0000E11D0000}"/>
    <cellStyle name="Normal 8 4 2 2 5 3 2" xfId="14965" xr:uid="{16D2B733-F262-4DAE-A05E-BF1F1F8F174B}"/>
    <cellStyle name="Normal 8 4 2 2 5 4" xfId="10747" xr:uid="{509E983F-8B66-42F5-9D7F-112A5E1EC954}"/>
    <cellStyle name="Normal 8 4 2 2 6" xfId="2652" xr:uid="{00000000-0005-0000-0000-0000E21D0000}"/>
    <cellStyle name="Normal 8 4 2 2 6 2" xfId="6936" xr:uid="{00000000-0005-0000-0000-0000E31D0000}"/>
    <cellStyle name="Normal 8 4 2 2 6 2 2" xfId="15378" xr:uid="{98E4801E-3728-4C1B-96EF-805FA4832516}"/>
    <cellStyle name="Normal 8 4 2 2 6 3" xfId="11160" xr:uid="{37A48C64-8108-4414-AC04-4F48B1394D7C}"/>
    <cellStyle name="Normal 8 4 2 2 7" xfId="4871" xr:uid="{00000000-0005-0000-0000-0000E41D0000}"/>
    <cellStyle name="Normal 8 4 2 2 7 2" xfId="13313" xr:uid="{6FAE4CBD-BC34-4996-9DAE-EEAF585D4DBF}"/>
    <cellStyle name="Normal 8 4 2 2 8" xfId="9095" xr:uid="{600E3E30-33B4-4104-AAED-ECB8BE377B98}"/>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F1B4DFF-59FE-4A26-920B-02F6358195C1}"/>
    <cellStyle name="Normal 8 4 2 3 2 3" xfId="11652" xr:uid="{5FB189C5-15BF-4ABC-9587-1C01CE17AAD7}"/>
    <cellStyle name="Normal 8 4 2 3 3" xfId="5283" xr:uid="{00000000-0005-0000-0000-0000E81D0000}"/>
    <cellStyle name="Normal 8 4 2 3 3 2" xfId="13725" xr:uid="{266B865D-BCF6-4D4C-93E2-030DD1126753}"/>
    <cellStyle name="Normal 8 4 2 3 4" xfId="9507" xr:uid="{A53804DA-ACC7-4B5E-AA87-ECE86EEDDB7F}"/>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A79F2600-0426-40BC-B9FD-F00AD154DFCF}"/>
    <cellStyle name="Normal 8 4 2 4 2 3" xfId="12065" xr:uid="{0A57EC7C-2F3D-4013-BF09-066BA87D9A2B}"/>
    <cellStyle name="Normal 8 4 2 4 3" xfId="5696" xr:uid="{00000000-0005-0000-0000-0000EC1D0000}"/>
    <cellStyle name="Normal 8 4 2 4 3 2" xfId="14138" xr:uid="{EE2E62E9-5186-4495-B5C0-F528D7188621}"/>
    <cellStyle name="Normal 8 4 2 4 4" xfId="9920" xr:uid="{DD5EBA6F-902A-44A7-B9DC-D2A668E9EDF0}"/>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1B435137-081B-40BD-B808-33506642AC0B}"/>
    <cellStyle name="Normal 8 4 2 5 2 3" xfId="12478" xr:uid="{E5FAB8D9-AA56-4F42-B91E-92AA3437DBEF}"/>
    <cellStyle name="Normal 8 4 2 5 3" xfId="6109" xr:uid="{00000000-0005-0000-0000-0000F01D0000}"/>
    <cellStyle name="Normal 8 4 2 5 3 2" xfId="14551" xr:uid="{85E8152D-74E0-48D6-936F-7121CF86A76C}"/>
    <cellStyle name="Normal 8 4 2 5 4" xfId="10333" xr:uid="{F63E11D5-CAC4-4119-B616-3A46509745F9}"/>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DD851696-A28A-4D6F-964D-68970F837309}"/>
    <cellStyle name="Normal 8 4 2 6 2 3" xfId="12891" xr:uid="{9B2AD95D-FEAC-4EDF-9B16-6448652864D8}"/>
    <cellStyle name="Normal 8 4 2 6 3" xfId="6522" xr:uid="{00000000-0005-0000-0000-0000F41D0000}"/>
    <cellStyle name="Normal 8 4 2 6 3 2" xfId="14964" xr:uid="{25E9B2D2-DBEC-4D8F-A210-8943C31EF75C}"/>
    <cellStyle name="Normal 8 4 2 6 4" xfId="10746" xr:uid="{53CAD1F9-0581-4B48-9CAC-3A61224FBBFD}"/>
    <cellStyle name="Normal 8 4 2 7" xfId="2651" xr:uid="{00000000-0005-0000-0000-0000F51D0000}"/>
    <cellStyle name="Normal 8 4 2 7 2" xfId="6935" xr:uid="{00000000-0005-0000-0000-0000F61D0000}"/>
    <cellStyle name="Normal 8 4 2 7 2 2" xfId="15377" xr:uid="{C47E4B4C-0698-4D1A-88F2-D88975C31E7F}"/>
    <cellStyle name="Normal 8 4 2 7 3" xfId="11159" xr:uid="{A58465DC-3D4F-4E37-8426-E89B0815DB42}"/>
    <cellStyle name="Normal 8 4 2 8" xfId="4870" xr:uid="{00000000-0005-0000-0000-0000F71D0000}"/>
    <cellStyle name="Normal 8 4 2 8 2" xfId="13312" xr:uid="{E74C31A4-30F6-49DD-9785-6EA5204BED0B}"/>
    <cellStyle name="Normal 8 4 2 9" xfId="9094" xr:uid="{8E830812-4BB2-46D5-8112-8A780B9B4927}"/>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4C2D0210-C33A-4C50-A7D6-707BFB4BFA1F}"/>
    <cellStyle name="Normal 8 4 3 2 2 3" xfId="11654" xr:uid="{F4A88482-CBC0-483F-BDAF-19577AF257C4}"/>
    <cellStyle name="Normal 8 4 3 2 3" xfId="5285" xr:uid="{00000000-0005-0000-0000-0000FC1D0000}"/>
    <cellStyle name="Normal 8 4 3 2 3 2" xfId="13727" xr:uid="{082604D5-52D8-4E86-8E4E-6E3F4B9D0449}"/>
    <cellStyle name="Normal 8 4 3 2 4" xfId="9509" xr:uid="{AE0A7D73-BD72-4697-B012-20BE107215E5}"/>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B8800BA7-4928-4533-B440-248AFDAF9204}"/>
    <cellStyle name="Normal 8 4 3 3 2 3" xfId="12067" xr:uid="{E0A6E3A3-C519-45DB-8BCF-5D8B1668DE4E}"/>
    <cellStyle name="Normal 8 4 3 3 3" xfId="5698" xr:uid="{00000000-0005-0000-0000-0000001E0000}"/>
    <cellStyle name="Normal 8 4 3 3 3 2" xfId="14140" xr:uid="{DAD68B46-4A65-4EF6-B386-1E53BAFF4908}"/>
    <cellStyle name="Normal 8 4 3 3 4" xfId="9922" xr:uid="{4E69B0BF-A9C4-43E3-8600-B99B9E55815C}"/>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6145271D-AD5F-49AB-811C-CD2C98BA2E14}"/>
    <cellStyle name="Normal 8 4 3 4 2 3" xfId="12480" xr:uid="{9467E143-0785-40BA-8FCA-C6DE3C2445E2}"/>
    <cellStyle name="Normal 8 4 3 4 3" xfId="6111" xr:uid="{00000000-0005-0000-0000-0000041E0000}"/>
    <cellStyle name="Normal 8 4 3 4 3 2" xfId="14553" xr:uid="{D08DB6F8-E55F-46BB-A958-1269046565AD}"/>
    <cellStyle name="Normal 8 4 3 4 4" xfId="10335" xr:uid="{1317045C-14B6-4CC2-BC30-20D6B1BE2FE5}"/>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60FFC08F-268C-4AC6-86C9-0354CCB07AFF}"/>
    <cellStyle name="Normal 8 4 3 5 2 3" xfId="12893" xr:uid="{029CD105-FB61-452A-8BC0-D00471BBA5AE}"/>
    <cellStyle name="Normal 8 4 3 5 3" xfId="6524" xr:uid="{00000000-0005-0000-0000-0000081E0000}"/>
    <cellStyle name="Normal 8 4 3 5 3 2" xfId="14966" xr:uid="{10A80659-8175-4F03-9112-4A6B8FCB95F7}"/>
    <cellStyle name="Normal 8 4 3 5 4" xfId="10748" xr:uid="{41AF9288-64DA-45A7-B952-6368BE3E1494}"/>
    <cellStyle name="Normal 8 4 3 6" xfId="2653" xr:uid="{00000000-0005-0000-0000-0000091E0000}"/>
    <cellStyle name="Normal 8 4 3 6 2" xfId="6937" xr:uid="{00000000-0005-0000-0000-00000A1E0000}"/>
    <cellStyle name="Normal 8 4 3 6 2 2" xfId="15379" xr:uid="{147E711E-9465-4AC7-AE33-39306B6A6124}"/>
    <cellStyle name="Normal 8 4 3 6 3" xfId="11161" xr:uid="{83660FB9-EEE6-4E85-A8F4-CC03292C4894}"/>
    <cellStyle name="Normal 8 4 3 7" xfId="4872" xr:uid="{00000000-0005-0000-0000-00000B1E0000}"/>
    <cellStyle name="Normal 8 4 3 7 2" xfId="13314" xr:uid="{D22806B7-2140-43DA-929E-731E95460DE5}"/>
    <cellStyle name="Normal 8 4 3 8" xfId="9096" xr:uid="{92CE97DB-DD0D-4D62-B7CE-CA3D7821580B}"/>
    <cellStyle name="Normal 8 4 4" xfId="970" xr:uid="{00000000-0005-0000-0000-00000C1E0000}"/>
    <cellStyle name="Normal 8 4 4 2" xfId="3204" xr:uid="{00000000-0005-0000-0000-00000D1E0000}"/>
    <cellStyle name="Normal 8 4 4 2 2" xfId="7427" xr:uid="{00000000-0005-0000-0000-00000E1E0000}"/>
    <cellStyle name="Normal 8 4 4 2 2 2" xfId="15869" xr:uid="{D61E1294-D26C-4D55-86A3-280791B52B25}"/>
    <cellStyle name="Normal 8 4 4 2 3" xfId="11651" xr:uid="{2E6751B1-74B1-4842-88F6-F6E5516DDF34}"/>
    <cellStyle name="Normal 8 4 4 3" xfId="5282" xr:uid="{00000000-0005-0000-0000-00000F1E0000}"/>
    <cellStyle name="Normal 8 4 4 3 2" xfId="13724" xr:uid="{1485EE84-461A-4881-813F-6AE0C740D64A}"/>
    <cellStyle name="Normal 8 4 4 4" xfId="9506" xr:uid="{78A2470E-1EBC-4E71-9070-4DD6E1B19223}"/>
    <cellStyle name="Normal 8 4 5" xfId="1387" xr:uid="{00000000-0005-0000-0000-0000101E0000}"/>
    <cellStyle name="Normal 8 4 5 2" xfId="3617" xr:uid="{00000000-0005-0000-0000-0000111E0000}"/>
    <cellStyle name="Normal 8 4 5 2 2" xfId="7840" xr:uid="{00000000-0005-0000-0000-0000121E0000}"/>
    <cellStyle name="Normal 8 4 5 2 2 2" xfId="16282" xr:uid="{9C4EA178-819E-46E9-906E-2F406F614BDD}"/>
    <cellStyle name="Normal 8 4 5 2 3" xfId="12064" xr:uid="{9CA692CB-16FF-439E-A8C4-67252F6170D1}"/>
    <cellStyle name="Normal 8 4 5 3" xfId="5695" xr:uid="{00000000-0005-0000-0000-0000131E0000}"/>
    <cellStyle name="Normal 8 4 5 3 2" xfId="14137" xr:uid="{F1DBDFD1-A0CB-487E-9ECB-76E3F5BB9CD5}"/>
    <cellStyle name="Normal 8 4 5 4" xfId="9919" xr:uid="{F625E25E-E4D7-4ECC-B78A-17D3E101A8FC}"/>
    <cellStyle name="Normal 8 4 6" xfId="1800" xr:uid="{00000000-0005-0000-0000-0000141E0000}"/>
    <cellStyle name="Normal 8 4 6 2" xfId="4030" xr:uid="{00000000-0005-0000-0000-0000151E0000}"/>
    <cellStyle name="Normal 8 4 6 2 2" xfId="8253" xr:uid="{00000000-0005-0000-0000-0000161E0000}"/>
    <cellStyle name="Normal 8 4 6 2 2 2" xfId="16695" xr:uid="{BA753420-62BE-47E0-B1E1-DC28D3EA5A81}"/>
    <cellStyle name="Normal 8 4 6 2 3" xfId="12477" xr:uid="{6491DB8D-D12D-4C06-9A32-66EF29738AB9}"/>
    <cellStyle name="Normal 8 4 6 3" xfId="6108" xr:uid="{00000000-0005-0000-0000-0000171E0000}"/>
    <cellStyle name="Normal 8 4 6 3 2" xfId="14550" xr:uid="{8B561013-0736-4D4B-B14C-604F87548CE7}"/>
    <cellStyle name="Normal 8 4 6 4" xfId="10332" xr:uid="{1B69270A-25C2-4975-BA77-0D8A61CB5A15}"/>
    <cellStyle name="Normal 8 4 7" xfId="2214" xr:uid="{00000000-0005-0000-0000-0000181E0000}"/>
    <cellStyle name="Normal 8 4 7 2" xfId="4443" xr:uid="{00000000-0005-0000-0000-0000191E0000}"/>
    <cellStyle name="Normal 8 4 7 2 2" xfId="8666" xr:uid="{00000000-0005-0000-0000-00001A1E0000}"/>
    <cellStyle name="Normal 8 4 7 2 2 2" xfId="17108" xr:uid="{DA9EA504-6F33-4ECD-8EE2-BD439CCFF316}"/>
    <cellStyle name="Normal 8 4 7 2 3" xfId="12890" xr:uid="{C94A2088-8FAB-4F5C-ABEE-03C4D15D769F}"/>
    <cellStyle name="Normal 8 4 7 3" xfId="6521" xr:uid="{00000000-0005-0000-0000-00001B1E0000}"/>
    <cellStyle name="Normal 8 4 7 3 2" xfId="14963" xr:uid="{C217777D-523B-497C-BA72-908B68CF6A8E}"/>
    <cellStyle name="Normal 8 4 7 4" xfId="10745" xr:uid="{C3664437-C66E-41F3-B91B-9F9449A090D5}"/>
    <cellStyle name="Normal 8 4 8" xfId="2650" xr:uid="{00000000-0005-0000-0000-00001C1E0000}"/>
    <cellStyle name="Normal 8 4 8 2" xfId="6934" xr:uid="{00000000-0005-0000-0000-00001D1E0000}"/>
    <cellStyle name="Normal 8 4 8 2 2" xfId="15376" xr:uid="{49C2F5B6-5703-4A4E-B073-8BFBE417BC57}"/>
    <cellStyle name="Normal 8 4 8 3" xfId="11158" xr:uid="{74FEDE10-4D30-44DB-A20B-B5CB71A6C70A}"/>
    <cellStyle name="Normal 8 4 9" xfId="4869" xr:uid="{00000000-0005-0000-0000-00001E1E0000}"/>
    <cellStyle name="Normal 8 4 9 2" xfId="13311" xr:uid="{17E522BF-93B6-4932-9EF7-CD92F88F37F9}"/>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7291B4C5-9B46-4574-936D-0300F69704DA}"/>
    <cellStyle name="Normal 8 5 2 2 2 3" xfId="11656" xr:uid="{0928B1F6-16CB-4C65-B8CE-E955907B476B}"/>
    <cellStyle name="Normal 8 5 2 2 3" xfId="5287" xr:uid="{00000000-0005-0000-0000-0000241E0000}"/>
    <cellStyle name="Normal 8 5 2 2 3 2" xfId="13729" xr:uid="{A2FB68A5-61F6-4512-B8A2-1067DCF919E2}"/>
    <cellStyle name="Normal 8 5 2 2 4" xfId="9511" xr:uid="{FB47D42B-D957-468E-88C0-D2F13EC5E41D}"/>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7DD62D1B-23BE-4BF4-9357-AED74EB67F70}"/>
    <cellStyle name="Normal 8 5 2 3 2 3" xfId="12069" xr:uid="{5E269FA1-A9A7-4C09-A111-B709C21E5874}"/>
    <cellStyle name="Normal 8 5 2 3 3" xfId="5700" xr:uid="{00000000-0005-0000-0000-0000281E0000}"/>
    <cellStyle name="Normal 8 5 2 3 3 2" xfId="14142" xr:uid="{B2C2ECDA-440F-451E-8CC6-F088E301B8F2}"/>
    <cellStyle name="Normal 8 5 2 3 4" xfId="9924" xr:uid="{A2BE4707-298E-44A5-A21F-2B70800B8693}"/>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B89ECDA9-6CF9-4A59-8637-2244E981D5EA}"/>
    <cellStyle name="Normal 8 5 2 4 2 3" xfId="12482" xr:uid="{0453CF59-D35B-4CA8-AAF6-130A500FA918}"/>
    <cellStyle name="Normal 8 5 2 4 3" xfId="6113" xr:uid="{00000000-0005-0000-0000-00002C1E0000}"/>
    <cellStyle name="Normal 8 5 2 4 3 2" xfId="14555" xr:uid="{87B01549-4FD4-456B-9D48-BCEBD3C8C906}"/>
    <cellStyle name="Normal 8 5 2 4 4" xfId="10337" xr:uid="{FB9CDEEB-3444-4F8F-AF25-0A91125C8C20}"/>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B76CCC6B-7D0F-4C28-8D2E-BAAC203BBED0}"/>
    <cellStyle name="Normal 8 5 2 5 2 3" xfId="12895" xr:uid="{A952662B-FF74-426E-BE1F-5724552496C9}"/>
    <cellStyle name="Normal 8 5 2 5 3" xfId="6526" xr:uid="{00000000-0005-0000-0000-0000301E0000}"/>
    <cellStyle name="Normal 8 5 2 5 3 2" xfId="14968" xr:uid="{C03C7C8D-583F-4C29-9E3E-FB76CC8B8682}"/>
    <cellStyle name="Normal 8 5 2 5 4" xfId="10750" xr:uid="{C3DD9E59-13C6-4A4A-920C-6B0956B3C0A4}"/>
    <cellStyle name="Normal 8 5 2 6" xfId="2655" xr:uid="{00000000-0005-0000-0000-0000311E0000}"/>
    <cellStyle name="Normal 8 5 2 6 2" xfId="6939" xr:uid="{00000000-0005-0000-0000-0000321E0000}"/>
    <cellStyle name="Normal 8 5 2 6 2 2" xfId="15381" xr:uid="{EA624ABB-DCED-4844-9ECE-2E94A94B6E5C}"/>
    <cellStyle name="Normal 8 5 2 6 3" xfId="11163" xr:uid="{1638F463-5DD9-430E-89AC-0D74E083E75F}"/>
    <cellStyle name="Normal 8 5 2 7" xfId="4874" xr:uid="{00000000-0005-0000-0000-0000331E0000}"/>
    <cellStyle name="Normal 8 5 2 7 2" xfId="13316" xr:uid="{8476AA98-0588-4E18-980A-882801079BEB}"/>
    <cellStyle name="Normal 8 5 2 8" xfId="9098" xr:uid="{3D8DAFFA-805B-415B-ADA3-0DD558E1FB7D}"/>
    <cellStyle name="Normal 8 5 3" xfId="974" xr:uid="{00000000-0005-0000-0000-0000341E0000}"/>
    <cellStyle name="Normal 8 5 3 2" xfId="3208" xr:uid="{00000000-0005-0000-0000-0000351E0000}"/>
    <cellStyle name="Normal 8 5 3 2 2" xfId="7431" xr:uid="{00000000-0005-0000-0000-0000361E0000}"/>
    <cellStyle name="Normal 8 5 3 2 2 2" xfId="15873" xr:uid="{EB13A58B-74A7-4D6C-A569-4C739E3140E4}"/>
    <cellStyle name="Normal 8 5 3 2 3" xfId="11655" xr:uid="{509D35AE-B853-4280-947B-790E5D5B414E}"/>
    <cellStyle name="Normal 8 5 3 3" xfId="5286" xr:uid="{00000000-0005-0000-0000-0000371E0000}"/>
    <cellStyle name="Normal 8 5 3 3 2" xfId="13728" xr:uid="{D2AC477E-C278-46D8-944C-55AFDA0B316D}"/>
    <cellStyle name="Normal 8 5 3 4" xfId="9510" xr:uid="{80A67B13-90C1-4E19-ADF6-F443D8483055}"/>
    <cellStyle name="Normal 8 5 4" xfId="1391" xr:uid="{00000000-0005-0000-0000-0000381E0000}"/>
    <cellStyle name="Normal 8 5 4 2" xfId="3621" xr:uid="{00000000-0005-0000-0000-0000391E0000}"/>
    <cellStyle name="Normal 8 5 4 2 2" xfId="7844" xr:uid="{00000000-0005-0000-0000-00003A1E0000}"/>
    <cellStyle name="Normal 8 5 4 2 2 2" xfId="16286" xr:uid="{2E77D165-8CE2-4E19-8239-7E806B48153D}"/>
    <cellStyle name="Normal 8 5 4 2 3" xfId="12068" xr:uid="{FA2CC63E-0F5E-4637-AE53-D5374B73433F}"/>
    <cellStyle name="Normal 8 5 4 3" xfId="5699" xr:uid="{00000000-0005-0000-0000-00003B1E0000}"/>
    <cellStyle name="Normal 8 5 4 3 2" xfId="14141" xr:uid="{0E7C4A12-105A-4CCC-83B1-C3A03A7FC4DB}"/>
    <cellStyle name="Normal 8 5 4 4" xfId="9923" xr:uid="{2CFDF7A4-5166-4B76-A287-7BA85A07D495}"/>
    <cellStyle name="Normal 8 5 5" xfId="1804" xr:uid="{00000000-0005-0000-0000-00003C1E0000}"/>
    <cellStyle name="Normal 8 5 5 2" xfId="4034" xr:uid="{00000000-0005-0000-0000-00003D1E0000}"/>
    <cellStyle name="Normal 8 5 5 2 2" xfId="8257" xr:uid="{00000000-0005-0000-0000-00003E1E0000}"/>
    <cellStyle name="Normal 8 5 5 2 2 2" xfId="16699" xr:uid="{20F4461C-D681-4744-807E-45897590A5D5}"/>
    <cellStyle name="Normal 8 5 5 2 3" xfId="12481" xr:uid="{DD36BC75-56C7-44EE-854E-FF22047ED4A6}"/>
    <cellStyle name="Normal 8 5 5 3" xfId="6112" xr:uid="{00000000-0005-0000-0000-00003F1E0000}"/>
    <cellStyle name="Normal 8 5 5 3 2" xfId="14554" xr:uid="{38EBE6C9-D857-4968-911E-B6A0F546FAF1}"/>
    <cellStyle name="Normal 8 5 5 4" xfId="10336" xr:uid="{54FF6D1C-40CC-441E-894C-AA8303C41F95}"/>
    <cellStyle name="Normal 8 5 6" xfId="2218" xr:uid="{00000000-0005-0000-0000-0000401E0000}"/>
    <cellStyle name="Normal 8 5 6 2" xfId="4447" xr:uid="{00000000-0005-0000-0000-0000411E0000}"/>
    <cellStyle name="Normal 8 5 6 2 2" xfId="8670" xr:uid="{00000000-0005-0000-0000-0000421E0000}"/>
    <cellStyle name="Normal 8 5 6 2 2 2" xfId="17112" xr:uid="{2E61E480-974F-496B-8BD8-93FA7B1CC170}"/>
    <cellStyle name="Normal 8 5 6 2 3" xfId="12894" xr:uid="{EB1CB507-2DEC-4805-B19E-E4A2B613B66B}"/>
    <cellStyle name="Normal 8 5 6 3" xfId="6525" xr:uid="{00000000-0005-0000-0000-0000431E0000}"/>
    <cellStyle name="Normal 8 5 6 3 2" xfId="14967" xr:uid="{33A0260E-A664-4D2C-8742-BCE83C253FD2}"/>
    <cellStyle name="Normal 8 5 6 4" xfId="10749" xr:uid="{701CD4F1-8D3B-42FC-AF1D-D1418491103B}"/>
    <cellStyle name="Normal 8 5 7" xfId="2654" xr:uid="{00000000-0005-0000-0000-0000441E0000}"/>
    <cellStyle name="Normal 8 5 7 2" xfId="6938" xr:uid="{00000000-0005-0000-0000-0000451E0000}"/>
    <cellStyle name="Normal 8 5 7 2 2" xfId="15380" xr:uid="{22F8F304-367C-4318-9B86-86CEFB338F00}"/>
    <cellStyle name="Normal 8 5 7 3" xfId="11162" xr:uid="{1FA79475-11BF-4BE7-9E8C-9ECA96DD6F28}"/>
    <cellStyle name="Normal 8 5 8" xfId="4873" xr:uid="{00000000-0005-0000-0000-0000461E0000}"/>
    <cellStyle name="Normal 8 5 8 2" xfId="13315" xr:uid="{9053705F-47B7-4C31-9771-3B70E5C57F28}"/>
    <cellStyle name="Normal 8 5 9" xfId="9097" xr:uid="{501B7221-C1EE-40F5-9D05-5A1035667137}"/>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D468B54D-E271-43C4-965A-112AD8E5D356}"/>
    <cellStyle name="Normal 8 6 2 2 3" xfId="11657" xr:uid="{97328066-5408-45DF-887B-E86C489BDC97}"/>
    <cellStyle name="Normal 8 6 2 3" xfId="5288" xr:uid="{00000000-0005-0000-0000-00004B1E0000}"/>
    <cellStyle name="Normal 8 6 2 3 2" xfId="13730" xr:uid="{428594EA-87D5-4F14-B12E-1FE28E10185F}"/>
    <cellStyle name="Normal 8 6 2 4" xfId="9512" xr:uid="{AC246196-143D-4816-A9F6-F68A84C3897B}"/>
    <cellStyle name="Normal 8 6 3" xfId="1393" xr:uid="{00000000-0005-0000-0000-00004C1E0000}"/>
    <cellStyle name="Normal 8 6 3 2" xfId="3623" xr:uid="{00000000-0005-0000-0000-00004D1E0000}"/>
    <cellStyle name="Normal 8 6 3 2 2" xfId="7846" xr:uid="{00000000-0005-0000-0000-00004E1E0000}"/>
    <cellStyle name="Normal 8 6 3 2 2 2" xfId="16288" xr:uid="{FFD3BD86-A8CF-4A39-B99E-82AD07AB248C}"/>
    <cellStyle name="Normal 8 6 3 2 3" xfId="12070" xr:uid="{F58A2F76-8A25-4045-AED3-78861C68B93B}"/>
    <cellStyle name="Normal 8 6 3 3" xfId="5701" xr:uid="{00000000-0005-0000-0000-00004F1E0000}"/>
    <cellStyle name="Normal 8 6 3 3 2" xfId="14143" xr:uid="{4FF1DDD4-59AD-4E83-83DA-32C02BD63D02}"/>
    <cellStyle name="Normal 8 6 3 4" xfId="9925" xr:uid="{91D7D606-B4F8-45C4-BE5D-A38CC68A538B}"/>
    <cellStyle name="Normal 8 6 4" xfId="1806" xr:uid="{00000000-0005-0000-0000-0000501E0000}"/>
    <cellStyle name="Normal 8 6 4 2" xfId="4036" xr:uid="{00000000-0005-0000-0000-0000511E0000}"/>
    <cellStyle name="Normal 8 6 4 2 2" xfId="8259" xr:uid="{00000000-0005-0000-0000-0000521E0000}"/>
    <cellStyle name="Normal 8 6 4 2 2 2" xfId="16701" xr:uid="{E98C1F8D-D8FB-4682-A896-FE9C7F4C9E99}"/>
    <cellStyle name="Normal 8 6 4 2 3" xfId="12483" xr:uid="{0C60B027-609F-435B-9CAE-D9332C5D8A2D}"/>
    <cellStyle name="Normal 8 6 4 3" xfId="6114" xr:uid="{00000000-0005-0000-0000-0000531E0000}"/>
    <cellStyle name="Normal 8 6 4 3 2" xfId="14556" xr:uid="{FE24A9A6-2C79-4633-84E7-6F9A7054E69D}"/>
    <cellStyle name="Normal 8 6 4 4" xfId="10338" xr:uid="{9A6C804A-202A-42C5-95A8-C13CD13B68E4}"/>
    <cellStyle name="Normal 8 6 5" xfId="2220" xr:uid="{00000000-0005-0000-0000-0000541E0000}"/>
    <cellStyle name="Normal 8 6 5 2" xfId="4449" xr:uid="{00000000-0005-0000-0000-0000551E0000}"/>
    <cellStyle name="Normal 8 6 5 2 2" xfId="8672" xr:uid="{00000000-0005-0000-0000-0000561E0000}"/>
    <cellStyle name="Normal 8 6 5 2 2 2" xfId="17114" xr:uid="{F01F36F2-483A-4E76-9173-EC66CDEF66D6}"/>
    <cellStyle name="Normal 8 6 5 2 3" xfId="12896" xr:uid="{401DD60E-848D-47E8-A1A8-B7E99FD711F5}"/>
    <cellStyle name="Normal 8 6 5 3" xfId="6527" xr:uid="{00000000-0005-0000-0000-0000571E0000}"/>
    <cellStyle name="Normal 8 6 5 3 2" xfId="14969" xr:uid="{BCCCF253-BD42-4DD3-BBF5-39B02E7515D7}"/>
    <cellStyle name="Normal 8 6 5 4" xfId="10751" xr:uid="{1565214B-AE70-4416-9689-9F49104EA9E6}"/>
    <cellStyle name="Normal 8 6 6" xfId="2656" xr:uid="{00000000-0005-0000-0000-0000581E0000}"/>
    <cellStyle name="Normal 8 6 6 2" xfId="6940" xr:uid="{00000000-0005-0000-0000-0000591E0000}"/>
    <cellStyle name="Normal 8 6 6 2 2" xfId="15382" xr:uid="{FD136EFA-0F5D-4669-A19F-A4154EAA577B}"/>
    <cellStyle name="Normal 8 6 6 3" xfId="11164" xr:uid="{597B3843-656B-4458-835F-BBF2AC7BB3A8}"/>
    <cellStyle name="Normal 8 6 7" xfId="4875" xr:uid="{00000000-0005-0000-0000-00005A1E0000}"/>
    <cellStyle name="Normal 8 6 7 2" xfId="13317" xr:uid="{EDD518BD-71FB-4CE3-B509-0DE6E7AF1DC5}"/>
    <cellStyle name="Normal 8 6 8" xfId="9099" xr:uid="{E0250052-455A-45CF-A55E-A80049D4BE45}"/>
    <cellStyle name="Normal 8 7" xfId="945" xr:uid="{00000000-0005-0000-0000-00005B1E0000}"/>
    <cellStyle name="Normal 8 7 2" xfId="3179" xr:uid="{00000000-0005-0000-0000-00005C1E0000}"/>
    <cellStyle name="Normal 8 7 2 2" xfId="7402" xr:uid="{00000000-0005-0000-0000-00005D1E0000}"/>
    <cellStyle name="Normal 8 7 2 2 2" xfId="15844" xr:uid="{D21A5168-9417-4AC2-8E73-5F961574FE83}"/>
    <cellStyle name="Normal 8 7 2 3" xfId="11626" xr:uid="{664ACA00-AE65-4AE2-A93D-E4B0545FD4BE}"/>
    <cellStyle name="Normal 8 7 3" xfId="5257" xr:uid="{00000000-0005-0000-0000-00005E1E0000}"/>
    <cellStyle name="Normal 8 7 3 2" xfId="13699" xr:uid="{B915D0B7-9575-4EB3-9271-2121F1447072}"/>
    <cellStyle name="Normal 8 7 4" xfId="9481" xr:uid="{B296E6E2-A790-43E2-9A28-6FDC9B437ED8}"/>
    <cellStyle name="Normal 8 8" xfId="1362" xr:uid="{00000000-0005-0000-0000-00005F1E0000}"/>
    <cellStyle name="Normal 8 8 2" xfId="3592" xr:uid="{00000000-0005-0000-0000-0000601E0000}"/>
    <cellStyle name="Normal 8 8 2 2" xfId="7815" xr:uid="{00000000-0005-0000-0000-0000611E0000}"/>
    <cellStyle name="Normal 8 8 2 2 2" xfId="16257" xr:uid="{47060A35-4631-4F74-9AE4-912C339DF576}"/>
    <cellStyle name="Normal 8 8 2 3" xfId="12039" xr:uid="{EBF66DB4-585F-40E5-A8CF-4BB936BD2A96}"/>
    <cellStyle name="Normal 8 8 3" xfId="5670" xr:uid="{00000000-0005-0000-0000-0000621E0000}"/>
    <cellStyle name="Normal 8 8 3 2" xfId="14112" xr:uid="{CCD9055E-0512-42DE-B7E9-13CD816E41CC}"/>
    <cellStyle name="Normal 8 8 4" xfId="9894" xr:uid="{3D5A945D-1641-4869-8067-66182CF86800}"/>
    <cellStyle name="Normal 8 9" xfId="1775" xr:uid="{00000000-0005-0000-0000-0000631E0000}"/>
    <cellStyle name="Normal 8 9 2" xfId="4005" xr:uid="{00000000-0005-0000-0000-0000641E0000}"/>
    <cellStyle name="Normal 8 9 2 2" xfId="8228" xr:uid="{00000000-0005-0000-0000-0000651E0000}"/>
    <cellStyle name="Normal 8 9 2 2 2" xfId="16670" xr:uid="{24BE7A4D-71D4-4AD0-B025-C360518442B7}"/>
    <cellStyle name="Normal 8 9 2 3" xfId="12452" xr:uid="{8F499003-833A-43CB-8C9F-1E3069C96A4C}"/>
    <cellStyle name="Normal 8 9 3" xfId="6083" xr:uid="{00000000-0005-0000-0000-0000661E0000}"/>
    <cellStyle name="Normal 8 9 3 2" xfId="14525" xr:uid="{DF08CDE6-A2A6-4587-8921-9C621A4B6282}"/>
    <cellStyle name="Normal 8 9 4" xfId="10307" xr:uid="{B10C6B7C-B1A5-4973-9C04-FA632C70D16D}"/>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52B9A9A1-8396-4040-A0C5-91B20D1D4F49}"/>
    <cellStyle name="Normal 9 2 10 3" xfId="11165" xr:uid="{D0161B63-C8C7-40D3-84D8-3BC23C72B7BC}"/>
    <cellStyle name="Normal 9 2 11" xfId="4876" xr:uid="{00000000-0005-0000-0000-00006B1E0000}"/>
    <cellStyle name="Normal 9 2 11 2" xfId="13318" xr:uid="{CE99BCA5-8A47-429A-83EF-8A300F4CA653}"/>
    <cellStyle name="Normal 9 2 12" xfId="9100" xr:uid="{4D835828-B449-4622-AAC6-5C7A9E690D25}"/>
    <cellStyle name="Normal 9 2 2" xfId="512" xr:uid="{00000000-0005-0000-0000-00006C1E0000}"/>
    <cellStyle name="Normal 9 2 2 10" xfId="4877" xr:uid="{00000000-0005-0000-0000-00006D1E0000}"/>
    <cellStyle name="Normal 9 2 2 10 2" xfId="13319" xr:uid="{FEA0CEB7-46D4-4269-A5EC-45708E375C5F}"/>
    <cellStyle name="Normal 9 2 2 11" xfId="9101" xr:uid="{63990F04-E7F0-4688-BF74-4E3F3A732719}"/>
    <cellStyle name="Normal 9 2 2 2" xfId="513" xr:uid="{00000000-0005-0000-0000-00006E1E0000}"/>
    <cellStyle name="Normal 9 2 2 2 10" xfId="9102" xr:uid="{381E3EF5-2C19-404D-9BBE-23A06124A3B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FAC401C8-772E-490D-98F5-27D3DB02E7AF}"/>
    <cellStyle name="Normal 9 2 2 2 2 2 2 2 3" xfId="11662" xr:uid="{FF7D5408-3A15-4503-B861-77C98A1AE163}"/>
    <cellStyle name="Normal 9 2 2 2 2 2 2 3" xfId="5293" xr:uid="{00000000-0005-0000-0000-0000741E0000}"/>
    <cellStyle name="Normal 9 2 2 2 2 2 2 3 2" xfId="13735" xr:uid="{1D24EC4D-94B9-4389-B67E-B8DC27985422}"/>
    <cellStyle name="Normal 9 2 2 2 2 2 2 4" xfId="9517" xr:uid="{D6FAF22C-69F5-4D18-A665-6111C8068D3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80B0404A-25DE-45DD-9CBD-540C9E836033}"/>
    <cellStyle name="Normal 9 2 2 2 2 2 3 2 3" xfId="12075" xr:uid="{0D45C1B7-020C-4409-A145-8793ABAD2020}"/>
    <cellStyle name="Normal 9 2 2 2 2 2 3 3" xfId="5706" xr:uid="{00000000-0005-0000-0000-0000781E0000}"/>
    <cellStyle name="Normal 9 2 2 2 2 2 3 3 2" xfId="14148" xr:uid="{B10AA48E-E97D-4E45-B83A-88AE7786EADB}"/>
    <cellStyle name="Normal 9 2 2 2 2 2 3 4" xfId="9930" xr:uid="{98E5CAA6-8CEA-4FCC-B91E-38CD8E23B93A}"/>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291F8356-F1AA-4DE0-88EB-3BDF79F71C3A}"/>
    <cellStyle name="Normal 9 2 2 2 2 2 4 2 3" xfId="12488" xr:uid="{9686D08F-29E0-4BFA-88A6-486F1E5A1B61}"/>
    <cellStyle name="Normal 9 2 2 2 2 2 4 3" xfId="6119" xr:uid="{00000000-0005-0000-0000-00007C1E0000}"/>
    <cellStyle name="Normal 9 2 2 2 2 2 4 3 2" xfId="14561" xr:uid="{7A0D69DE-F0FA-4C2E-B4B6-35AD66B08704}"/>
    <cellStyle name="Normal 9 2 2 2 2 2 4 4" xfId="10343" xr:uid="{CBFF6E9A-CA38-44AF-BC43-EC896BB79BA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321EE7EC-5149-4EA0-A89D-7FCB8F7FCA93}"/>
    <cellStyle name="Normal 9 2 2 2 2 2 5 2 3" xfId="12901" xr:uid="{4796D11F-6B4C-47CA-BE33-7F0A96A2204E}"/>
    <cellStyle name="Normal 9 2 2 2 2 2 5 3" xfId="6532" xr:uid="{00000000-0005-0000-0000-0000801E0000}"/>
    <cellStyle name="Normal 9 2 2 2 2 2 5 3 2" xfId="14974" xr:uid="{02866785-4AE6-4B70-B498-466822EA935F}"/>
    <cellStyle name="Normal 9 2 2 2 2 2 5 4" xfId="10756" xr:uid="{6C07F680-BB94-4BD9-9391-9E3FE111C6E2}"/>
    <cellStyle name="Normal 9 2 2 2 2 2 6" xfId="2661" xr:uid="{00000000-0005-0000-0000-0000811E0000}"/>
    <cellStyle name="Normal 9 2 2 2 2 2 6 2" xfId="6945" xr:uid="{00000000-0005-0000-0000-0000821E0000}"/>
    <cellStyle name="Normal 9 2 2 2 2 2 6 2 2" xfId="15387" xr:uid="{A0D1CAB3-E5D1-45F7-AF67-1E1008898BB3}"/>
    <cellStyle name="Normal 9 2 2 2 2 2 6 3" xfId="11169" xr:uid="{9E590C6D-D3B3-4583-B4B4-B808626248E7}"/>
    <cellStyle name="Normal 9 2 2 2 2 2 7" xfId="4880" xr:uid="{00000000-0005-0000-0000-0000831E0000}"/>
    <cellStyle name="Normal 9 2 2 2 2 2 7 2" xfId="13322" xr:uid="{0F47A8C3-2E4C-40AD-BC3C-072926F82D8B}"/>
    <cellStyle name="Normal 9 2 2 2 2 2 8" xfId="9104" xr:uid="{505616FB-7AE3-4754-90FB-155921EB36DB}"/>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D80472D8-B410-40C5-B254-84729E5F12DB}"/>
    <cellStyle name="Normal 9 2 2 2 2 3 2 3" xfId="11661" xr:uid="{6C14F3B2-A4E3-46E1-B84C-7EF99BD30E69}"/>
    <cellStyle name="Normal 9 2 2 2 2 3 3" xfId="5292" xr:uid="{00000000-0005-0000-0000-0000871E0000}"/>
    <cellStyle name="Normal 9 2 2 2 2 3 3 2" xfId="13734" xr:uid="{CDB9F90E-F6A4-44A7-9C66-B2E9F8ED4226}"/>
    <cellStyle name="Normal 9 2 2 2 2 3 4" xfId="9516" xr:uid="{B41D9960-0EB2-4B1B-AF7E-1A66008C2F02}"/>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38A03532-0DB7-4ADF-A680-01525D9AC667}"/>
    <cellStyle name="Normal 9 2 2 2 2 4 2 3" xfId="12074" xr:uid="{435F6DE8-3731-4B84-873C-7922251844B1}"/>
    <cellStyle name="Normal 9 2 2 2 2 4 3" xfId="5705" xr:uid="{00000000-0005-0000-0000-00008B1E0000}"/>
    <cellStyle name="Normal 9 2 2 2 2 4 3 2" xfId="14147" xr:uid="{F1EF9683-7AAB-4AA3-8174-0836DA4C3E06}"/>
    <cellStyle name="Normal 9 2 2 2 2 4 4" xfId="9929" xr:uid="{950AAAB4-2753-4309-9A14-423085158FF2}"/>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30F96BBF-FB61-4DC3-AB55-F75A7D6D4D57}"/>
    <cellStyle name="Normal 9 2 2 2 2 5 2 3" xfId="12487" xr:uid="{E10B0422-9351-4B1F-897A-3000E2657562}"/>
    <cellStyle name="Normal 9 2 2 2 2 5 3" xfId="6118" xr:uid="{00000000-0005-0000-0000-00008F1E0000}"/>
    <cellStyle name="Normal 9 2 2 2 2 5 3 2" xfId="14560" xr:uid="{89A36BEE-5C9D-4AD3-A2FB-84C30638D1A6}"/>
    <cellStyle name="Normal 9 2 2 2 2 5 4" xfId="10342" xr:uid="{C373C5F1-6B55-409F-B632-5510D8EDB9A4}"/>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EFC561A-C756-4C39-97A4-2F7BB7E434FD}"/>
    <cellStyle name="Normal 9 2 2 2 2 6 2 3" xfId="12900" xr:uid="{4AE48432-470E-4136-AAF3-8B9AF8579F62}"/>
    <cellStyle name="Normal 9 2 2 2 2 6 3" xfId="6531" xr:uid="{00000000-0005-0000-0000-0000931E0000}"/>
    <cellStyle name="Normal 9 2 2 2 2 6 3 2" xfId="14973" xr:uid="{50DF31D6-FE1D-444A-A4FE-4C3D6B0B1B13}"/>
    <cellStyle name="Normal 9 2 2 2 2 6 4" xfId="10755" xr:uid="{79E7FAD3-0A7B-4BD7-99AA-89878D3EB69C}"/>
    <cellStyle name="Normal 9 2 2 2 2 7" xfId="2660" xr:uid="{00000000-0005-0000-0000-0000941E0000}"/>
    <cellStyle name="Normal 9 2 2 2 2 7 2" xfId="6944" xr:uid="{00000000-0005-0000-0000-0000951E0000}"/>
    <cellStyle name="Normal 9 2 2 2 2 7 2 2" xfId="15386" xr:uid="{5DBFDD59-20B8-4601-BD01-8CD7DF940BA3}"/>
    <cellStyle name="Normal 9 2 2 2 2 7 3" xfId="11168" xr:uid="{40176370-4C2B-4A6A-AD69-CBEA2550AAA1}"/>
    <cellStyle name="Normal 9 2 2 2 2 8" xfId="4879" xr:uid="{00000000-0005-0000-0000-0000961E0000}"/>
    <cellStyle name="Normal 9 2 2 2 2 8 2" xfId="13321" xr:uid="{B173DDAA-2F6D-404E-ACD0-DDCA6074D158}"/>
    <cellStyle name="Normal 9 2 2 2 2 9" xfId="9103" xr:uid="{55022966-D9E0-420B-8306-F0BE4AA13FDA}"/>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EACF7594-C279-4A89-883C-D3FB64FC1E67}"/>
    <cellStyle name="Normal 9 2 2 2 3 2 2 3" xfId="11663" xr:uid="{D886CCD6-4944-4292-B52A-C936630367AC}"/>
    <cellStyle name="Normal 9 2 2 2 3 2 3" xfId="5294" xr:uid="{00000000-0005-0000-0000-00009B1E0000}"/>
    <cellStyle name="Normal 9 2 2 2 3 2 3 2" xfId="13736" xr:uid="{48438C6F-4718-4AC1-8611-76667E9601C0}"/>
    <cellStyle name="Normal 9 2 2 2 3 2 4" xfId="9518" xr:uid="{E9C5BB0E-EC50-4E3E-8316-6B8C3AA2BD97}"/>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4BF8BDC3-6122-45A8-B68E-F62F454F66AC}"/>
    <cellStyle name="Normal 9 2 2 2 3 3 2 3" xfId="12076" xr:uid="{FD399070-833B-4313-AC13-7663D2F2778B}"/>
    <cellStyle name="Normal 9 2 2 2 3 3 3" xfId="5707" xr:uid="{00000000-0005-0000-0000-00009F1E0000}"/>
    <cellStyle name="Normal 9 2 2 2 3 3 3 2" xfId="14149" xr:uid="{6ADF83C6-7B2B-4876-8BE3-F21FE0C1C225}"/>
    <cellStyle name="Normal 9 2 2 2 3 3 4" xfId="9931" xr:uid="{99E70D3E-418F-4025-B9A0-8C3CA0BFA1CD}"/>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7A0EE8D7-EC0A-4CB5-B673-4286AF50C43D}"/>
    <cellStyle name="Normal 9 2 2 2 3 4 2 3" xfId="12489" xr:uid="{66010A53-84D6-447F-BEDA-9F302719E458}"/>
    <cellStyle name="Normal 9 2 2 2 3 4 3" xfId="6120" xr:uid="{00000000-0005-0000-0000-0000A31E0000}"/>
    <cellStyle name="Normal 9 2 2 2 3 4 3 2" xfId="14562" xr:uid="{7FECD734-CAE8-4484-AFAC-691DEB0DC7DB}"/>
    <cellStyle name="Normal 9 2 2 2 3 4 4" xfId="10344" xr:uid="{C228EC01-94FB-4898-9FF8-BA426E64780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27CD73C0-53C5-4564-B06C-BE8C27E26E78}"/>
    <cellStyle name="Normal 9 2 2 2 3 5 2 3" xfId="12902" xr:uid="{3E791187-7DDD-48BF-8484-D299B91A44C7}"/>
    <cellStyle name="Normal 9 2 2 2 3 5 3" xfId="6533" xr:uid="{00000000-0005-0000-0000-0000A71E0000}"/>
    <cellStyle name="Normal 9 2 2 2 3 5 3 2" xfId="14975" xr:uid="{1C946D8E-7E4B-482E-83D2-EC9A2EBACC31}"/>
    <cellStyle name="Normal 9 2 2 2 3 5 4" xfId="10757" xr:uid="{CBA1640F-6E94-4B63-AD7B-9B17F1E17E1E}"/>
    <cellStyle name="Normal 9 2 2 2 3 6" xfId="2662" xr:uid="{00000000-0005-0000-0000-0000A81E0000}"/>
    <cellStyle name="Normal 9 2 2 2 3 6 2" xfId="6946" xr:uid="{00000000-0005-0000-0000-0000A91E0000}"/>
    <cellStyle name="Normal 9 2 2 2 3 6 2 2" xfId="15388" xr:uid="{4C3C4D53-8F78-46EC-BCAF-963C850600B8}"/>
    <cellStyle name="Normal 9 2 2 2 3 6 3" xfId="11170" xr:uid="{8F013D49-7EC0-4D70-9EF6-88FE76BFF1FD}"/>
    <cellStyle name="Normal 9 2 2 2 3 7" xfId="4881" xr:uid="{00000000-0005-0000-0000-0000AA1E0000}"/>
    <cellStyle name="Normal 9 2 2 2 3 7 2" xfId="13323" xr:uid="{9A3C3300-0354-426F-98C7-B35A3FFAB9CA}"/>
    <cellStyle name="Normal 9 2 2 2 3 8" xfId="9105" xr:uid="{0C5827F3-94B6-4E44-927F-8AA23214E46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5D69F0D2-5499-4C4D-9AEC-66F7EA236BF5}"/>
    <cellStyle name="Normal 9 2 2 2 4 2 3" xfId="11660" xr:uid="{A5538442-DE0C-412F-8C22-57B70DB773E7}"/>
    <cellStyle name="Normal 9 2 2 2 4 3" xfId="5291" xr:uid="{00000000-0005-0000-0000-0000AE1E0000}"/>
    <cellStyle name="Normal 9 2 2 2 4 3 2" xfId="13733" xr:uid="{4919AFEE-CD26-4303-B7D9-A8CC5DECE653}"/>
    <cellStyle name="Normal 9 2 2 2 4 4" xfId="9515" xr:uid="{2A1D0089-F8A0-4A55-823A-C5EE132CF0C1}"/>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4A58E389-C8A0-439E-8080-8EF30DF5781A}"/>
    <cellStyle name="Normal 9 2 2 2 5 2 3" xfId="12073" xr:uid="{895A222D-56A5-4535-AD01-F72AD091F93D}"/>
    <cellStyle name="Normal 9 2 2 2 5 3" xfId="5704" xr:uid="{00000000-0005-0000-0000-0000B21E0000}"/>
    <cellStyle name="Normal 9 2 2 2 5 3 2" xfId="14146" xr:uid="{EB30A0F8-6E8B-46D7-A6C5-A460E1B5EC9E}"/>
    <cellStyle name="Normal 9 2 2 2 5 4" xfId="9928" xr:uid="{9B973CD5-5A63-4F18-9716-4C5FE49F3A7B}"/>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F5FF712E-1E6D-4B38-AA19-934AFBAC69CF}"/>
    <cellStyle name="Normal 9 2 2 2 6 2 3" xfId="12486" xr:uid="{9A3CCEAA-20F4-4E10-A7B9-ED3F719210C4}"/>
    <cellStyle name="Normal 9 2 2 2 6 3" xfId="6117" xr:uid="{00000000-0005-0000-0000-0000B61E0000}"/>
    <cellStyle name="Normal 9 2 2 2 6 3 2" xfId="14559" xr:uid="{7E8CC193-301C-480E-883A-D72C04F783CF}"/>
    <cellStyle name="Normal 9 2 2 2 6 4" xfId="10341" xr:uid="{45B14AE8-68E4-48AC-BFF3-E990756664A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3B704E49-D328-4310-8185-97C59757A379}"/>
    <cellStyle name="Normal 9 2 2 2 7 2 3" xfId="12899" xr:uid="{532C5D91-E5D8-4214-ABF9-5F252F11D2ED}"/>
    <cellStyle name="Normal 9 2 2 2 7 3" xfId="6530" xr:uid="{00000000-0005-0000-0000-0000BA1E0000}"/>
    <cellStyle name="Normal 9 2 2 2 7 3 2" xfId="14972" xr:uid="{820B3876-0E41-445E-B4B1-A86F129434B6}"/>
    <cellStyle name="Normal 9 2 2 2 7 4" xfId="10754" xr:uid="{CB0685CB-977E-4538-AD1C-11E60D433643}"/>
    <cellStyle name="Normal 9 2 2 2 8" xfId="2659" xr:uid="{00000000-0005-0000-0000-0000BB1E0000}"/>
    <cellStyle name="Normal 9 2 2 2 8 2" xfId="6943" xr:uid="{00000000-0005-0000-0000-0000BC1E0000}"/>
    <cellStyle name="Normal 9 2 2 2 8 2 2" xfId="15385" xr:uid="{E54EA791-5C64-4BCC-B27B-942575ECF9FE}"/>
    <cellStyle name="Normal 9 2 2 2 8 3" xfId="11167" xr:uid="{06B3131C-DAA0-49B9-BB91-6F979186F122}"/>
    <cellStyle name="Normal 9 2 2 2 9" xfId="4878" xr:uid="{00000000-0005-0000-0000-0000BD1E0000}"/>
    <cellStyle name="Normal 9 2 2 2 9 2" xfId="13320" xr:uid="{AD335478-5508-4386-BA32-503AD9B42115}"/>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A37F10AE-1A97-46A5-932A-37C20DDB86B5}"/>
    <cellStyle name="Normal 9 2 2 3 2 2 2 3" xfId="11665" xr:uid="{53525AB0-578A-441B-969C-5DAFA9288748}"/>
    <cellStyle name="Normal 9 2 2 3 2 2 3" xfId="5296" xr:uid="{00000000-0005-0000-0000-0000C31E0000}"/>
    <cellStyle name="Normal 9 2 2 3 2 2 3 2" xfId="13738" xr:uid="{717D339A-E741-4371-9CE3-6F2E2A9D8AB0}"/>
    <cellStyle name="Normal 9 2 2 3 2 2 4" xfId="9520" xr:uid="{E025C641-BC60-4681-BA25-5BF9C8C165EE}"/>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6AFFD2ED-3B5B-4914-ACDD-D76827E59D44}"/>
    <cellStyle name="Normal 9 2 2 3 2 3 2 3" xfId="12078" xr:uid="{DB70824C-F179-43FA-83B5-40B639F9AE5B}"/>
    <cellStyle name="Normal 9 2 2 3 2 3 3" xfId="5709" xr:uid="{00000000-0005-0000-0000-0000C71E0000}"/>
    <cellStyle name="Normal 9 2 2 3 2 3 3 2" xfId="14151" xr:uid="{6CA9166C-4750-4DBA-B402-41EC43A40B5D}"/>
    <cellStyle name="Normal 9 2 2 3 2 3 4" xfId="9933" xr:uid="{0C73493B-57E0-4146-8D7B-9F3AFEF418A2}"/>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9069E1E4-EDA8-4C1D-A3E5-5E7A6FE435F0}"/>
    <cellStyle name="Normal 9 2 2 3 2 4 2 3" xfId="12491" xr:uid="{6D1949AC-4970-48D2-A8BB-38C4D4A7046E}"/>
    <cellStyle name="Normal 9 2 2 3 2 4 3" xfId="6122" xr:uid="{00000000-0005-0000-0000-0000CB1E0000}"/>
    <cellStyle name="Normal 9 2 2 3 2 4 3 2" xfId="14564" xr:uid="{569FD870-0DA0-4807-B939-4B3B0EFA7F33}"/>
    <cellStyle name="Normal 9 2 2 3 2 4 4" xfId="10346" xr:uid="{F74FCA10-ECF1-413C-B33C-E2ED81E0710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4D36D63A-451A-4FB2-8F09-6B1C2F343275}"/>
    <cellStyle name="Normal 9 2 2 3 2 5 2 3" xfId="12904" xr:uid="{B2854ADF-E184-4F46-A8B9-D86FD0191496}"/>
    <cellStyle name="Normal 9 2 2 3 2 5 3" xfId="6535" xr:uid="{00000000-0005-0000-0000-0000CF1E0000}"/>
    <cellStyle name="Normal 9 2 2 3 2 5 3 2" xfId="14977" xr:uid="{76E89FE0-4B22-457E-9274-4C07AA91DA0E}"/>
    <cellStyle name="Normal 9 2 2 3 2 5 4" xfId="10759" xr:uid="{D027889A-3D68-4FDF-94D5-22186B5CE40E}"/>
    <cellStyle name="Normal 9 2 2 3 2 6" xfId="2664" xr:uid="{00000000-0005-0000-0000-0000D01E0000}"/>
    <cellStyle name="Normal 9 2 2 3 2 6 2" xfId="6948" xr:uid="{00000000-0005-0000-0000-0000D11E0000}"/>
    <cellStyle name="Normal 9 2 2 3 2 6 2 2" xfId="15390" xr:uid="{F53682F7-27D5-42E5-A939-A7CDD578DDA0}"/>
    <cellStyle name="Normal 9 2 2 3 2 6 3" xfId="11172" xr:uid="{D8E6C5AB-1C7C-4DAC-99A0-4EB6C472E221}"/>
    <cellStyle name="Normal 9 2 2 3 2 7" xfId="4883" xr:uid="{00000000-0005-0000-0000-0000D21E0000}"/>
    <cellStyle name="Normal 9 2 2 3 2 7 2" xfId="13325" xr:uid="{E7BDFE24-C780-4B6F-825C-C034C6E4AF9B}"/>
    <cellStyle name="Normal 9 2 2 3 2 8" xfId="9107" xr:uid="{E554EE03-EC59-4C66-9085-A4C6988AF8C6}"/>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192D2995-31C7-485F-AEAF-7943282EDF48}"/>
    <cellStyle name="Normal 9 2 2 3 3 2 3" xfId="11664" xr:uid="{7BB5642F-E850-4176-9595-D3BAB19D45E5}"/>
    <cellStyle name="Normal 9 2 2 3 3 3" xfId="5295" xr:uid="{00000000-0005-0000-0000-0000D61E0000}"/>
    <cellStyle name="Normal 9 2 2 3 3 3 2" xfId="13737" xr:uid="{469F0BC4-6757-40BF-81BB-43BB46BD82D2}"/>
    <cellStyle name="Normal 9 2 2 3 3 4" xfId="9519" xr:uid="{5F47581B-63F6-4E30-A990-0F9579F0C97E}"/>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BE9C34D9-46C7-457B-B2F4-A9F8DDD297F4}"/>
    <cellStyle name="Normal 9 2 2 3 4 2 3" xfId="12077" xr:uid="{2BAFD6D3-C031-40CC-A950-F8878A4F5746}"/>
    <cellStyle name="Normal 9 2 2 3 4 3" xfId="5708" xr:uid="{00000000-0005-0000-0000-0000DA1E0000}"/>
    <cellStyle name="Normal 9 2 2 3 4 3 2" xfId="14150" xr:uid="{F8A322E5-7984-4C48-96AC-E17BF6055E59}"/>
    <cellStyle name="Normal 9 2 2 3 4 4" xfId="9932" xr:uid="{811879F4-5D5B-407C-9505-A31133974F6C}"/>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B3FB6C56-5235-43A2-9C25-4685C2CE3F90}"/>
    <cellStyle name="Normal 9 2 2 3 5 2 3" xfId="12490" xr:uid="{372555FF-E558-4719-99C8-5C85C3D70A0E}"/>
    <cellStyle name="Normal 9 2 2 3 5 3" xfId="6121" xr:uid="{00000000-0005-0000-0000-0000DE1E0000}"/>
    <cellStyle name="Normal 9 2 2 3 5 3 2" xfId="14563" xr:uid="{732DB8E8-9580-4B32-8249-38C528E19704}"/>
    <cellStyle name="Normal 9 2 2 3 5 4" xfId="10345" xr:uid="{8DC55C0A-026E-40C7-BDD5-4A98ADD6BDA2}"/>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FAC1FF47-5084-4DBD-9B9B-C9AD0BC81C9B}"/>
    <cellStyle name="Normal 9 2 2 3 6 2 3" xfId="12903" xr:uid="{39EF9374-72E2-4D62-BEAD-EB493B1DA169}"/>
    <cellStyle name="Normal 9 2 2 3 6 3" xfId="6534" xr:uid="{00000000-0005-0000-0000-0000E21E0000}"/>
    <cellStyle name="Normal 9 2 2 3 6 3 2" xfId="14976" xr:uid="{CF8CDD43-1602-42AB-950D-CE45EAD87FA3}"/>
    <cellStyle name="Normal 9 2 2 3 6 4" xfId="10758" xr:uid="{688DC856-19E9-4D16-9F50-D5180C951A5C}"/>
    <cellStyle name="Normal 9 2 2 3 7" xfId="2663" xr:uid="{00000000-0005-0000-0000-0000E31E0000}"/>
    <cellStyle name="Normal 9 2 2 3 7 2" xfId="6947" xr:uid="{00000000-0005-0000-0000-0000E41E0000}"/>
    <cellStyle name="Normal 9 2 2 3 7 2 2" xfId="15389" xr:uid="{AA466790-38E0-4272-A01A-823D91D48F1B}"/>
    <cellStyle name="Normal 9 2 2 3 7 3" xfId="11171" xr:uid="{5F79C260-9D69-48A5-8435-CF61CEBC9956}"/>
    <cellStyle name="Normal 9 2 2 3 8" xfId="4882" xr:uid="{00000000-0005-0000-0000-0000E51E0000}"/>
    <cellStyle name="Normal 9 2 2 3 8 2" xfId="13324" xr:uid="{1FC64707-4DF5-4CA8-AB9E-8F01FD54C862}"/>
    <cellStyle name="Normal 9 2 2 3 9" xfId="9106" xr:uid="{887AC3EA-16D0-4970-9166-A51B0B0946D2}"/>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67E93F6C-7488-46EC-944C-AB006EC2D130}"/>
    <cellStyle name="Normal 9 2 2 4 2 2 3" xfId="11666" xr:uid="{4EE1BE35-965E-49D5-BC33-4F138625556C}"/>
    <cellStyle name="Normal 9 2 2 4 2 3" xfId="5297" xr:uid="{00000000-0005-0000-0000-0000EA1E0000}"/>
    <cellStyle name="Normal 9 2 2 4 2 3 2" xfId="13739" xr:uid="{CC24BB71-5EFD-48A9-BBD5-8C4FAD5A79D6}"/>
    <cellStyle name="Normal 9 2 2 4 2 4" xfId="9521" xr:uid="{40874EB0-1E45-43B6-BEEC-2548E1F9956F}"/>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12E9CCA3-F920-45ED-9851-4787AA19FD39}"/>
    <cellStyle name="Normal 9 2 2 4 3 2 3" xfId="12079" xr:uid="{F5B91410-E91D-41F5-ADD6-2E4619603C42}"/>
    <cellStyle name="Normal 9 2 2 4 3 3" xfId="5710" xr:uid="{00000000-0005-0000-0000-0000EE1E0000}"/>
    <cellStyle name="Normal 9 2 2 4 3 3 2" xfId="14152" xr:uid="{DCA0D72B-62A1-4A31-8B7D-CFF6732DE71B}"/>
    <cellStyle name="Normal 9 2 2 4 3 4" xfId="9934" xr:uid="{81184045-E0E5-45F3-A595-ACA83A07D832}"/>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5D192AE9-8131-4BA5-B341-83A3BD592265}"/>
    <cellStyle name="Normal 9 2 2 4 4 2 3" xfId="12492" xr:uid="{3538D113-C5EA-45FC-8CBE-AF2C63EFF452}"/>
    <cellStyle name="Normal 9 2 2 4 4 3" xfId="6123" xr:uid="{00000000-0005-0000-0000-0000F21E0000}"/>
    <cellStyle name="Normal 9 2 2 4 4 3 2" xfId="14565" xr:uid="{C9F24C30-ED08-4458-8E73-6870151F23C0}"/>
    <cellStyle name="Normal 9 2 2 4 4 4" xfId="10347" xr:uid="{ADE14DB2-2DD9-473F-9D9E-3F3C7C0FCB2C}"/>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DEF61946-58D8-4DA2-8234-5CAB8532F970}"/>
    <cellStyle name="Normal 9 2 2 4 5 2 3" xfId="12905" xr:uid="{033FD4EB-E77E-4913-AF83-D62F6AE76E92}"/>
    <cellStyle name="Normal 9 2 2 4 5 3" xfId="6536" xr:uid="{00000000-0005-0000-0000-0000F61E0000}"/>
    <cellStyle name="Normal 9 2 2 4 5 3 2" xfId="14978" xr:uid="{E0445317-0092-4B43-BCC1-D5B1BBBB9EFD}"/>
    <cellStyle name="Normal 9 2 2 4 5 4" xfId="10760" xr:uid="{404A6F81-2C17-41A4-97FD-C7F30D431EA7}"/>
    <cellStyle name="Normal 9 2 2 4 6" xfId="2665" xr:uid="{00000000-0005-0000-0000-0000F71E0000}"/>
    <cellStyle name="Normal 9 2 2 4 6 2" xfId="6949" xr:uid="{00000000-0005-0000-0000-0000F81E0000}"/>
    <cellStyle name="Normal 9 2 2 4 6 2 2" xfId="15391" xr:uid="{4F309FB8-EDE8-46CE-AECB-CBF2C8F8B158}"/>
    <cellStyle name="Normal 9 2 2 4 6 3" xfId="11173" xr:uid="{4F871E49-4452-422F-879C-A0F3D50DAEEF}"/>
    <cellStyle name="Normal 9 2 2 4 7" xfId="4884" xr:uid="{00000000-0005-0000-0000-0000F91E0000}"/>
    <cellStyle name="Normal 9 2 2 4 7 2" xfId="13326" xr:uid="{CE3CE36E-5B2D-41D2-82A7-C45C279B8828}"/>
    <cellStyle name="Normal 9 2 2 4 8" xfId="9108" xr:uid="{DBF96C22-1BAF-4F24-884E-899D259EB08F}"/>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8CAB0AEA-6484-4B6A-8D31-724C5F6D94A1}"/>
    <cellStyle name="Normal 9 2 2 5 2 3" xfId="11659" xr:uid="{806C6A6F-D1A5-41B5-B69D-83919ECD67F8}"/>
    <cellStyle name="Normal 9 2 2 5 3" xfId="5290" xr:uid="{00000000-0005-0000-0000-0000FD1E0000}"/>
    <cellStyle name="Normal 9 2 2 5 3 2" xfId="13732" xr:uid="{724AFFC6-9A23-4F21-90D1-F07BC8BFB673}"/>
    <cellStyle name="Normal 9 2 2 5 4" xfId="9514" xr:uid="{69A94584-F2E5-45A0-9D6B-1D281804DCA4}"/>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5B3D10F8-8281-4EB2-B56C-B38DFA221BD2}"/>
    <cellStyle name="Normal 9 2 2 6 2 3" xfId="12072" xr:uid="{48CA2A30-83F7-4B6F-BA59-2C5FCA568AA2}"/>
    <cellStyle name="Normal 9 2 2 6 3" xfId="5703" xr:uid="{00000000-0005-0000-0000-0000011F0000}"/>
    <cellStyle name="Normal 9 2 2 6 3 2" xfId="14145" xr:uid="{AB2E759B-17EC-4290-A50C-51C7B2C033BD}"/>
    <cellStyle name="Normal 9 2 2 6 4" xfId="9927" xr:uid="{CF0E587D-9EB0-46FA-A415-E119A2DD7A35}"/>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A3599837-C563-4708-95AA-19FAE8E92D38}"/>
    <cellStyle name="Normal 9 2 2 7 2 3" xfId="12485" xr:uid="{C76E5FF2-A5EC-4632-9197-B74F09C9B366}"/>
    <cellStyle name="Normal 9 2 2 7 3" xfId="6116" xr:uid="{00000000-0005-0000-0000-0000051F0000}"/>
    <cellStyle name="Normal 9 2 2 7 3 2" xfId="14558" xr:uid="{C3BB0B79-B4E1-4C77-BCFB-F8D2F4219953}"/>
    <cellStyle name="Normal 9 2 2 7 4" xfId="10340" xr:uid="{116BFC3A-7BC8-40D9-AA0C-E3F5ADC51413}"/>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84027DCD-1DF3-4833-B5D7-C9F8EDE3ADAF}"/>
    <cellStyle name="Normal 9 2 2 8 2 3" xfId="12898" xr:uid="{C4BC49C9-445E-4F56-9560-7B062B51B87D}"/>
    <cellStyle name="Normal 9 2 2 8 3" xfId="6529" xr:uid="{00000000-0005-0000-0000-0000091F0000}"/>
    <cellStyle name="Normal 9 2 2 8 3 2" xfId="14971" xr:uid="{3108A5F8-E222-4D60-A518-AB0BBAC11CCE}"/>
    <cellStyle name="Normal 9 2 2 8 4" xfId="10753" xr:uid="{68D3AA4D-6F80-4D0C-8450-5B470D834405}"/>
    <cellStyle name="Normal 9 2 2 9" xfId="2658" xr:uid="{00000000-0005-0000-0000-00000A1F0000}"/>
    <cellStyle name="Normal 9 2 2 9 2" xfId="6942" xr:uid="{00000000-0005-0000-0000-00000B1F0000}"/>
    <cellStyle name="Normal 9 2 2 9 2 2" xfId="15384" xr:uid="{D6AC61E8-0F06-4835-8CF3-073F3D6048EE}"/>
    <cellStyle name="Normal 9 2 2 9 3" xfId="11166" xr:uid="{E9D07E28-762A-4169-88B8-6D826A0E1362}"/>
    <cellStyle name="Normal 9 2 3" xfId="520" xr:uid="{00000000-0005-0000-0000-00000C1F0000}"/>
    <cellStyle name="Normal 9 2 3 10" xfId="9109" xr:uid="{DEBCBFF9-E893-4637-AE1A-865248C2BA44}"/>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933C5F02-7286-4742-9B43-E2D83BD54A55}"/>
    <cellStyle name="Normal 9 2 3 2 2 2 2 3" xfId="11669" xr:uid="{ECB79949-8FD3-4ACC-B4B3-5E3BC3106D87}"/>
    <cellStyle name="Normal 9 2 3 2 2 2 3" xfId="5300" xr:uid="{00000000-0005-0000-0000-0000121F0000}"/>
    <cellStyle name="Normal 9 2 3 2 2 2 3 2" xfId="13742" xr:uid="{58C32546-E5E0-4510-91EE-9C8308B74FF2}"/>
    <cellStyle name="Normal 9 2 3 2 2 2 4" xfId="9524" xr:uid="{E38193E7-E4AC-4655-AAA5-16BF08D502D7}"/>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4555C0E0-1DAD-438E-A41C-D5878D45DE0B}"/>
    <cellStyle name="Normal 9 2 3 2 2 3 2 3" xfId="12082" xr:uid="{D784C3B5-A2A0-4D46-AFC9-17176AA6B8B1}"/>
    <cellStyle name="Normal 9 2 3 2 2 3 3" xfId="5713" xr:uid="{00000000-0005-0000-0000-0000161F0000}"/>
    <cellStyle name="Normal 9 2 3 2 2 3 3 2" xfId="14155" xr:uid="{EF66B9E4-E203-41F6-A6C6-4E3A2EC3364D}"/>
    <cellStyle name="Normal 9 2 3 2 2 3 4" xfId="9937" xr:uid="{E25E99F5-5890-4537-9E46-9BA1B9AE211B}"/>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3E566B92-C81F-45F8-BE6C-092F9AA1755E}"/>
    <cellStyle name="Normal 9 2 3 2 2 4 2 3" xfId="12495" xr:uid="{E9D539E1-A7E3-41ED-A1D6-F808A1EB94EA}"/>
    <cellStyle name="Normal 9 2 3 2 2 4 3" xfId="6126" xr:uid="{00000000-0005-0000-0000-00001A1F0000}"/>
    <cellStyle name="Normal 9 2 3 2 2 4 3 2" xfId="14568" xr:uid="{A17F9404-2433-4364-A8AA-4BF38D025A44}"/>
    <cellStyle name="Normal 9 2 3 2 2 4 4" xfId="10350" xr:uid="{B643FDF5-87D7-4F5D-912E-B52636D93504}"/>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651C187A-B472-47F4-BD0E-10408ED8C447}"/>
    <cellStyle name="Normal 9 2 3 2 2 5 2 3" xfId="12908" xr:uid="{6B43D4ED-213E-4948-81DE-A0C64641EC52}"/>
    <cellStyle name="Normal 9 2 3 2 2 5 3" xfId="6539" xr:uid="{00000000-0005-0000-0000-00001E1F0000}"/>
    <cellStyle name="Normal 9 2 3 2 2 5 3 2" xfId="14981" xr:uid="{0F3DF8AF-8034-47C5-A6E1-A48512FE7F21}"/>
    <cellStyle name="Normal 9 2 3 2 2 5 4" xfId="10763" xr:uid="{EAFDA5D8-6AB6-4FAB-B062-1682E32301CA}"/>
    <cellStyle name="Normal 9 2 3 2 2 6" xfId="2668" xr:uid="{00000000-0005-0000-0000-00001F1F0000}"/>
    <cellStyle name="Normal 9 2 3 2 2 6 2" xfId="6952" xr:uid="{00000000-0005-0000-0000-0000201F0000}"/>
    <cellStyle name="Normal 9 2 3 2 2 6 2 2" xfId="15394" xr:uid="{6089C26C-A47E-428B-9CDD-7B5649AAF431}"/>
    <cellStyle name="Normal 9 2 3 2 2 6 3" xfId="11176" xr:uid="{DAE0B6E3-2EF3-444F-BD69-6657B90B3520}"/>
    <cellStyle name="Normal 9 2 3 2 2 7" xfId="4887" xr:uid="{00000000-0005-0000-0000-0000211F0000}"/>
    <cellStyle name="Normal 9 2 3 2 2 7 2" xfId="13329" xr:uid="{94B27681-81D0-4E05-BF2F-7B98FAFB7DE9}"/>
    <cellStyle name="Normal 9 2 3 2 2 8" xfId="9111" xr:uid="{A354829C-E834-42CC-8D07-36B7A3CC955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BA77D421-A10F-49C4-B15B-C59781884AD1}"/>
    <cellStyle name="Normal 9 2 3 2 3 2 3" xfId="11668" xr:uid="{E37688A8-F7CB-410D-8D6E-7E5EB04518E2}"/>
    <cellStyle name="Normal 9 2 3 2 3 3" xfId="5299" xr:uid="{00000000-0005-0000-0000-0000251F0000}"/>
    <cellStyle name="Normal 9 2 3 2 3 3 2" xfId="13741" xr:uid="{B8FFBD5B-79DD-43D3-BBD2-63226434EF4B}"/>
    <cellStyle name="Normal 9 2 3 2 3 4" xfId="9523" xr:uid="{D5D47408-F44F-42A5-8A83-7C4F92EC0649}"/>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C09920FF-22FA-4D9C-A8ED-B4ADB659F2F3}"/>
    <cellStyle name="Normal 9 2 3 2 4 2 3" xfId="12081" xr:uid="{BAE392EC-4314-4D08-8CDF-B9AC30056AD2}"/>
    <cellStyle name="Normal 9 2 3 2 4 3" xfId="5712" xr:uid="{00000000-0005-0000-0000-0000291F0000}"/>
    <cellStyle name="Normal 9 2 3 2 4 3 2" xfId="14154" xr:uid="{F447A661-0AFE-4CDD-B820-1367D5EA43C2}"/>
    <cellStyle name="Normal 9 2 3 2 4 4" xfId="9936" xr:uid="{6C549E3B-5E24-4C6F-BCF3-D074BC832DD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118F71EF-FC7B-42EB-9DFD-36B9E041A644}"/>
    <cellStyle name="Normal 9 2 3 2 5 2 3" xfId="12494" xr:uid="{00CBB6A1-B66C-428C-8A81-10C3FCC254CE}"/>
    <cellStyle name="Normal 9 2 3 2 5 3" xfId="6125" xr:uid="{00000000-0005-0000-0000-00002D1F0000}"/>
    <cellStyle name="Normal 9 2 3 2 5 3 2" xfId="14567" xr:uid="{5FA99834-C517-496B-BBF3-8AD851BCE6F1}"/>
    <cellStyle name="Normal 9 2 3 2 5 4" xfId="10349" xr:uid="{D1952495-AAFD-4DB0-AB9B-E251689B099A}"/>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8EDE914B-961B-4637-AFE6-07F9F8C8137A}"/>
    <cellStyle name="Normal 9 2 3 2 6 2 3" xfId="12907" xr:uid="{B5DFC3B1-EB22-4D6F-9CFB-7F549434FA25}"/>
    <cellStyle name="Normal 9 2 3 2 6 3" xfId="6538" xr:uid="{00000000-0005-0000-0000-0000311F0000}"/>
    <cellStyle name="Normal 9 2 3 2 6 3 2" xfId="14980" xr:uid="{08DE570F-8A8C-4986-8153-D49ED0898A8B}"/>
    <cellStyle name="Normal 9 2 3 2 6 4" xfId="10762" xr:uid="{5A4FBB4F-0406-4AD7-BEC6-ADAB19A4C63A}"/>
    <cellStyle name="Normal 9 2 3 2 7" xfId="2667" xr:uid="{00000000-0005-0000-0000-0000321F0000}"/>
    <cellStyle name="Normal 9 2 3 2 7 2" xfId="6951" xr:uid="{00000000-0005-0000-0000-0000331F0000}"/>
    <cellStyle name="Normal 9 2 3 2 7 2 2" xfId="15393" xr:uid="{D8F9322B-561F-444A-B93C-5B755C0DC473}"/>
    <cellStyle name="Normal 9 2 3 2 7 3" xfId="11175" xr:uid="{BA5D3C60-89DB-4FEF-9116-E4D3D415CE34}"/>
    <cellStyle name="Normal 9 2 3 2 8" xfId="4886" xr:uid="{00000000-0005-0000-0000-0000341F0000}"/>
    <cellStyle name="Normal 9 2 3 2 8 2" xfId="13328" xr:uid="{8B5B0296-0E71-49A8-B63D-63767A0BDA58}"/>
    <cellStyle name="Normal 9 2 3 2 9" xfId="9110" xr:uid="{48815637-C044-41E0-AFE0-18DB2CB5798B}"/>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8BBFDDA9-491D-4A4D-9636-0FBACAD20FE5}"/>
    <cellStyle name="Normal 9 2 3 3 2 2 3" xfId="11670" xr:uid="{51C39060-82D6-41CA-9B2E-4A35122CA072}"/>
    <cellStyle name="Normal 9 2 3 3 2 3" xfId="5301" xr:uid="{00000000-0005-0000-0000-0000391F0000}"/>
    <cellStyle name="Normal 9 2 3 3 2 3 2" xfId="13743" xr:uid="{B3DC19DB-0F62-43DD-A77B-CBDDFC87B742}"/>
    <cellStyle name="Normal 9 2 3 3 2 4" xfId="9525" xr:uid="{EEDD68A0-D7DA-4350-8001-1C454A16BFEA}"/>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595A7C66-54E6-4019-BC27-BFF54EA35307}"/>
    <cellStyle name="Normal 9 2 3 3 3 2 3" xfId="12083" xr:uid="{4AD21F4A-0446-4B89-820C-15F4CA0E01AD}"/>
    <cellStyle name="Normal 9 2 3 3 3 3" xfId="5714" xr:uid="{00000000-0005-0000-0000-00003D1F0000}"/>
    <cellStyle name="Normal 9 2 3 3 3 3 2" xfId="14156" xr:uid="{F94FE6AE-0EC7-462D-813F-B00CAEC1C142}"/>
    <cellStyle name="Normal 9 2 3 3 3 4" xfId="9938" xr:uid="{CC13398C-9720-467F-9AA7-2CDDD712866D}"/>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E763AB5E-84A6-4635-9DB5-0782D2596A4E}"/>
    <cellStyle name="Normal 9 2 3 3 4 2 3" xfId="12496" xr:uid="{A901128D-829C-42AF-9F18-FE82720F8207}"/>
    <cellStyle name="Normal 9 2 3 3 4 3" xfId="6127" xr:uid="{00000000-0005-0000-0000-0000411F0000}"/>
    <cellStyle name="Normal 9 2 3 3 4 3 2" xfId="14569" xr:uid="{27FDF3B4-3FED-42DA-9D38-F888CCDD78A2}"/>
    <cellStyle name="Normal 9 2 3 3 4 4" xfId="10351" xr:uid="{1DC91A1D-DC29-430D-AC62-F9486F718963}"/>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ED7168D0-39B6-4F6C-9212-6436B3D4792D}"/>
    <cellStyle name="Normal 9 2 3 3 5 2 3" xfId="12909" xr:uid="{71AF441B-8D55-45D2-B0E6-94F59443A72E}"/>
    <cellStyle name="Normal 9 2 3 3 5 3" xfId="6540" xr:uid="{00000000-0005-0000-0000-0000451F0000}"/>
    <cellStyle name="Normal 9 2 3 3 5 3 2" xfId="14982" xr:uid="{7699F00D-1773-4767-96CC-E19FE790FF7A}"/>
    <cellStyle name="Normal 9 2 3 3 5 4" xfId="10764" xr:uid="{DBE8336A-0479-445A-9797-4247BCC2A84B}"/>
    <cellStyle name="Normal 9 2 3 3 6" xfId="2669" xr:uid="{00000000-0005-0000-0000-0000461F0000}"/>
    <cellStyle name="Normal 9 2 3 3 6 2" xfId="6953" xr:uid="{00000000-0005-0000-0000-0000471F0000}"/>
    <cellStyle name="Normal 9 2 3 3 6 2 2" xfId="15395" xr:uid="{FB442550-67BE-4266-9AA9-71E6D32B9B54}"/>
    <cellStyle name="Normal 9 2 3 3 6 3" xfId="11177" xr:uid="{88383CEC-CF7C-4D9E-B515-704CC8E83A5C}"/>
    <cellStyle name="Normal 9 2 3 3 7" xfId="4888" xr:uid="{00000000-0005-0000-0000-0000481F0000}"/>
    <cellStyle name="Normal 9 2 3 3 7 2" xfId="13330" xr:uid="{0A3B9335-D678-4B8A-89D7-EAD31D2D89EA}"/>
    <cellStyle name="Normal 9 2 3 3 8" xfId="9112" xr:uid="{9E1EA9C0-538D-446A-8764-9507D42870AC}"/>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FD4E4E2E-697E-4221-BBF9-3FFBD394302B}"/>
    <cellStyle name="Normal 9 2 3 4 2 3" xfId="11667" xr:uid="{7A984D1D-32F2-4DD7-AD7A-B176E0E420DF}"/>
    <cellStyle name="Normal 9 2 3 4 3" xfId="5298" xr:uid="{00000000-0005-0000-0000-00004C1F0000}"/>
    <cellStyle name="Normal 9 2 3 4 3 2" xfId="13740" xr:uid="{09912DFC-BE68-441C-B2EA-FA3C72990ECF}"/>
    <cellStyle name="Normal 9 2 3 4 4" xfId="9522" xr:uid="{4F52164C-3103-4BF1-AAB8-3626EAD411B2}"/>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B1227EED-7B77-4734-B07D-F6A21DB1BD7E}"/>
    <cellStyle name="Normal 9 2 3 5 2 3" xfId="12080" xr:uid="{4D49F85E-29D6-40E3-86D6-20A3011BCC8F}"/>
    <cellStyle name="Normal 9 2 3 5 3" xfId="5711" xr:uid="{00000000-0005-0000-0000-0000501F0000}"/>
    <cellStyle name="Normal 9 2 3 5 3 2" xfId="14153" xr:uid="{87433878-2E6C-48C3-BFC1-F77117096C03}"/>
    <cellStyle name="Normal 9 2 3 5 4" xfId="9935" xr:uid="{1B8D25DF-4B6A-4F53-B83A-9D3568B92944}"/>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D6DF3E6A-602A-40F1-9732-0D2548A967A5}"/>
    <cellStyle name="Normal 9 2 3 6 2 3" xfId="12493" xr:uid="{59FB1445-5E46-47F6-ACAD-2CD6F7082DE1}"/>
    <cellStyle name="Normal 9 2 3 6 3" xfId="6124" xr:uid="{00000000-0005-0000-0000-0000541F0000}"/>
    <cellStyle name="Normal 9 2 3 6 3 2" xfId="14566" xr:uid="{C196ABEE-0B54-495C-825F-446BEF8245AE}"/>
    <cellStyle name="Normal 9 2 3 6 4" xfId="10348" xr:uid="{CA4A514F-57AF-4808-A33A-BA64DBC6B802}"/>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344F31AA-6648-4E5C-8EC6-2A153F250C57}"/>
    <cellStyle name="Normal 9 2 3 7 2 3" xfId="12906" xr:uid="{6E165764-DB16-4692-88F9-78A77F45DC03}"/>
    <cellStyle name="Normal 9 2 3 7 3" xfId="6537" xr:uid="{00000000-0005-0000-0000-0000581F0000}"/>
    <cellStyle name="Normal 9 2 3 7 3 2" xfId="14979" xr:uid="{25E3F976-CB91-4D53-A477-E4D3A2F0EF18}"/>
    <cellStyle name="Normal 9 2 3 7 4" xfId="10761" xr:uid="{BFDB2683-2D79-4702-AB29-4F4DDE19C44E}"/>
    <cellStyle name="Normal 9 2 3 8" xfId="2666" xr:uid="{00000000-0005-0000-0000-0000591F0000}"/>
    <cellStyle name="Normal 9 2 3 8 2" xfId="6950" xr:uid="{00000000-0005-0000-0000-00005A1F0000}"/>
    <cellStyle name="Normal 9 2 3 8 2 2" xfId="15392" xr:uid="{852D558C-E8BE-456C-91F4-799D4006E9DE}"/>
    <cellStyle name="Normal 9 2 3 8 3" xfId="11174" xr:uid="{AC8F8426-C0EC-4207-8B3E-6A7A280904CC}"/>
    <cellStyle name="Normal 9 2 3 9" xfId="4885" xr:uid="{00000000-0005-0000-0000-00005B1F0000}"/>
    <cellStyle name="Normal 9 2 3 9 2" xfId="13327" xr:uid="{5A2EEC4F-C6D6-49DE-A215-733C3BCAB8E4}"/>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67CAA759-60D5-4F1E-9362-CD1DB6387459}"/>
    <cellStyle name="Normal 9 2 4 2 2 2 3" xfId="11672" xr:uid="{29592B14-3BC9-4A9A-AD37-DE0347670B6F}"/>
    <cellStyle name="Normal 9 2 4 2 2 3" xfId="5303" xr:uid="{00000000-0005-0000-0000-0000611F0000}"/>
    <cellStyle name="Normal 9 2 4 2 2 3 2" xfId="13745" xr:uid="{86E451C9-018A-4D40-81A1-4611036ED761}"/>
    <cellStyle name="Normal 9 2 4 2 2 4" xfId="9527" xr:uid="{EDE8E753-6A2F-46A9-9FA0-95E8E0F1F66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75366569-CDFF-4981-AF9A-5E51BB989045}"/>
    <cellStyle name="Normal 9 2 4 2 3 2 3" xfId="12085" xr:uid="{2C769DE5-9DB0-4A0F-80F9-FBA8FC43481E}"/>
    <cellStyle name="Normal 9 2 4 2 3 3" xfId="5716" xr:uid="{00000000-0005-0000-0000-0000651F0000}"/>
    <cellStyle name="Normal 9 2 4 2 3 3 2" xfId="14158" xr:uid="{A0903373-4D23-4D23-B956-349328D00038}"/>
    <cellStyle name="Normal 9 2 4 2 3 4" xfId="9940" xr:uid="{74F2EBCB-876E-47E0-B154-379F5EE66D2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4DFDCB7A-67A0-4B7E-84BE-C8410EF90606}"/>
    <cellStyle name="Normal 9 2 4 2 4 2 3" xfId="12498" xr:uid="{13B37F23-4CF1-466A-A92C-0412172099C7}"/>
    <cellStyle name="Normal 9 2 4 2 4 3" xfId="6129" xr:uid="{00000000-0005-0000-0000-0000691F0000}"/>
    <cellStyle name="Normal 9 2 4 2 4 3 2" xfId="14571" xr:uid="{5452221B-C409-44DB-9E08-0B860F6E9086}"/>
    <cellStyle name="Normal 9 2 4 2 4 4" xfId="10353" xr:uid="{4C6E2B71-B827-4776-AA4E-9F248E661AE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145B8291-EBBE-4DDD-A17C-3CE3317F360A}"/>
    <cellStyle name="Normal 9 2 4 2 5 2 3" xfId="12911" xr:uid="{07CDC167-B109-4BD5-8CD8-2BB9D53DD5D2}"/>
    <cellStyle name="Normal 9 2 4 2 5 3" xfId="6542" xr:uid="{00000000-0005-0000-0000-00006D1F0000}"/>
    <cellStyle name="Normal 9 2 4 2 5 3 2" xfId="14984" xr:uid="{B15B2541-AAB8-4F06-A26C-58A26FEC2DB4}"/>
    <cellStyle name="Normal 9 2 4 2 5 4" xfId="10766" xr:uid="{B55FC98B-8548-483B-881D-C29BA69BF77A}"/>
    <cellStyle name="Normal 9 2 4 2 6" xfId="2671" xr:uid="{00000000-0005-0000-0000-00006E1F0000}"/>
    <cellStyle name="Normal 9 2 4 2 6 2" xfId="6955" xr:uid="{00000000-0005-0000-0000-00006F1F0000}"/>
    <cellStyle name="Normal 9 2 4 2 6 2 2" xfId="15397" xr:uid="{5BF9E9A1-7842-43F3-A05E-16608D9F0990}"/>
    <cellStyle name="Normal 9 2 4 2 6 3" xfId="11179" xr:uid="{540FD4A3-67AF-4B2B-AA07-401BBCF6FAD0}"/>
    <cellStyle name="Normal 9 2 4 2 7" xfId="4890" xr:uid="{00000000-0005-0000-0000-0000701F0000}"/>
    <cellStyle name="Normal 9 2 4 2 7 2" xfId="13332" xr:uid="{9531226E-31EF-4EED-9954-ABE662D596E9}"/>
    <cellStyle name="Normal 9 2 4 2 8" xfId="9114" xr:uid="{7262C1ED-6759-44A1-ADC5-8838AA9354C7}"/>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8D4113F4-1250-4E19-BFCB-F4EE9E043F20}"/>
    <cellStyle name="Normal 9 2 4 3 2 3" xfId="11671" xr:uid="{C8BBA37A-2FDD-4366-92AB-ED85EBF76497}"/>
    <cellStyle name="Normal 9 2 4 3 3" xfId="5302" xr:uid="{00000000-0005-0000-0000-0000741F0000}"/>
    <cellStyle name="Normal 9 2 4 3 3 2" xfId="13744" xr:uid="{07F93BCD-D724-4455-984B-70515ABC018F}"/>
    <cellStyle name="Normal 9 2 4 3 4" xfId="9526" xr:uid="{F7AA093F-61B6-43F0-B4DF-84A37E0BCC0F}"/>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FC2A93B3-13DF-4EFD-9570-658DD63768BE}"/>
    <cellStyle name="Normal 9 2 4 4 2 3" xfId="12084" xr:uid="{4A9B94E9-F92E-47DA-A298-F3D9232F2DD4}"/>
    <cellStyle name="Normal 9 2 4 4 3" xfId="5715" xr:uid="{00000000-0005-0000-0000-0000781F0000}"/>
    <cellStyle name="Normal 9 2 4 4 3 2" xfId="14157" xr:uid="{58F16BC1-64C0-4DD9-BEAE-EBC87E6887A9}"/>
    <cellStyle name="Normal 9 2 4 4 4" xfId="9939" xr:uid="{C74CE10C-AF52-480B-8EA4-A4F8E662E023}"/>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68FA2055-96F2-4FA4-83BC-162F2C6A149A}"/>
    <cellStyle name="Normal 9 2 4 5 2 3" xfId="12497" xr:uid="{1392BC02-15B9-409F-97F0-A460F2AC314E}"/>
    <cellStyle name="Normal 9 2 4 5 3" xfId="6128" xr:uid="{00000000-0005-0000-0000-00007C1F0000}"/>
    <cellStyle name="Normal 9 2 4 5 3 2" xfId="14570" xr:uid="{712EAD5D-E27B-4F6F-9144-C7D7EEB65D05}"/>
    <cellStyle name="Normal 9 2 4 5 4" xfId="10352" xr:uid="{99D5395B-9CE7-484E-9F9C-5D3DE924E48C}"/>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13246AA1-C12B-4710-9C51-0A04950C4209}"/>
    <cellStyle name="Normal 9 2 4 6 2 3" xfId="12910" xr:uid="{37F467A7-DB38-470D-AD76-B48132BED7C0}"/>
    <cellStyle name="Normal 9 2 4 6 3" xfId="6541" xr:uid="{00000000-0005-0000-0000-0000801F0000}"/>
    <cellStyle name="Normal 9 2 4 6 3 2" xfId="14983" xr:uid="{C4BE8CC1-895F-440A-8D8E-D43AC84E384F}"/>
    <cellStyle name="Normal 9 2 4 6 4" xfId="10765" xr:uid="{5D1444F0-C283-4E27-9272-A024F9C35D8F}"/>
    <cellStyle name="Normal 9 2 4 7" xfId="2670" xr:uid="{00000000-0005-0000-0000-0000811F0000}"/>
    <cellStyle name="Normal 9 2 4 7 2" xfId="6954" xr:uid="{00000000-0005-0000-0000-0000821F0000}"/>
    <cellStyle name="Normal 9 2 4 7 2 2" xfId="15396" xr:uid="{1BA1BEA9-B359-4823-8B70-78A27C09B7FF}"/>
    <cellStyle name="Normal 9 2 4 7 3" xfId="11178" xr:uid="{B9A4A6E2-433E-4914-9156-1D2A212CB25B}"/>
    <cellStyle name="Normal 9 2 4 8" xfId="4889" xr:uid="{00000000-0005-0000-0000-0000831F0000}"/>
    <cellStyle name="Normal 9 2 4 8 2" xfId="13331" xr:uid="{D0C23458-E4DF-418A-AFD2-3FBBC46DD704}"/>
    <cellStyle name="Normal 9 2 4 9" xfId="9113" xr:uid="{F3C96D3C-A1D0-4A52-BE13-8EB688E9A154}"/>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227CBA34-C3DE-4E87-8D7B-521ACB6F6531}"/>
    <cellStyle name="Normal 9 2 5 2 2 3" xfId="11673" xr:uid="{26BE442A-1725-47DD-B20D-DA0B787E08B9}"/>
    <cellStyle name="Normal 9 2 5 2 3" xfId="5304" xr:uid="{00000000-0005-0000-0000-0000881F0000}"/>
    <cellStyle name="Normal 9 2 5 2 3 2" xfId="13746" xr:uid="{919A99E5-6B63-40F2-8CBA-FC55352B6FA3}"/>
    <cellStyle name="Normal 9 2 5 2 4" xfId="9528" xr:uid="{94CE8E45-5DD6-4AA9-8CBC-8324ECAD962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8257FA5B-A8EF-4CD6-8B05-00E36DAA1992}"/>
    <cellStyle name="Normal 9 2 5 3 2 3" xfId="12086" xr:uid="{365459FA-C90F-41E2-82D1-A3C7E35F0C30}"/>
    <cellStyle name="Normal 9 2 5 3 3" xfId="5717" xr:uid="{00000000-0005-0000-0000-00008C1F0000}"/>
    <cellStyle name="Normal 9 2 5 3 3 2" xfId="14159" xr:uid="{8943B2DB-661D-487E-821C-F62BF6BA4AFE}"/>
    <cellStyle name="Normal 9 2 5 3 4" xfId="9941" xr:uid="{1259FB03-CE8E-4522-9764-B537A5AE0AC8}"/>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CD323BF6-60CA-4413-B03B-CD383CF02393}"/>
    <cellStyle name="Normal 9 2 5 4 2 3" xfId="12499" xr:uid="{89565EC1-7F96-4E97-8C07-AC72905986A9}"/>
    <cellStyle name="Normal 9 2 5 4 3" xfId="6130" xr:uid="{00000000-0005-0000-0000-0000901F0000}"/>
    <cellStyle name="Normal 9 2 5 4 3 2" xfId="14572" xr:uid="{A5761330-523D-46E0-BBE5-19CF8E888866}"/>
    <cellStyle name="Normal 9 2 5 4 4" xfId="10354" xr:uid="{E5A887E6-46CB-4C5A-BE53-96D4D9BCD547}"/>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15880F38-A7DD-411F-A1BB-C36A9DE23E3E}"/>
    <cellStyle name="Normal 9 2 5 5 2 3" xfId="12912" xr:uid="{57C933C5-492A-42F3-9A75-6F6B72742D42}"/>
    <cellStyle name="Normal 9 2 5 5 3" xfId="6543" xr:uid="{00000000-0005-0000-0000-0000941F0000}"/>
    <cellStyle name="Normal 9 2 5 5 3 2" xfId="14985" xr:uid="{F0CE2298-8FF6-44E5-87F7-07E6FB2CC70B}"/>
    <cellStyle name="Normal 9 2 5 5 4" xfId="10767" xr:uid="{DFAB0530-A3FF-4FE0-9820-B2CD89D073AB}"/>
    <cellStyle name="Normal 9 2 5 6" xfId="2672" xr:uid="{00000000-0005-0000-0000-0000951F0000}"/>
    <cellStyle name="Normal 9 2 5 6 2" xfId="6956" xr:uid="{00000000-0005-0000-0000-0000961F0000}"/>
    <cellStyle name="Normal 9 2 5 6 2 2" xfId="15398" xr:uid="{238529A3-4FC0-4CA0-87D8-300AA407E426}"/>
    <cellStyle name="Normal 9 2 5 6 3" xfId="11180" xr:uid="{56BBBDEE-1642-4720-9346-5E1ADBD4DEE3}"/>
    <cellStyle name="Normal 9 2 5 7" xfId="4891" xr:uid="{00000000-0005-0000-0000-0000971F0000}"/>
    <cellStyle name="Normal 9 2 5 7 2" xfId="13333" xr:uid="{750DFF84-5EC8-42F1-AFD9-ACF3E037E211}"/>
    <cellStyle name="Normal 9 2 5 8" xfId="9115" xr:uid="{7EA87CB2-F9EB-4C69-8996-C992F117AFD0}"/>
    <cellStyle name="Normal 9 2 6" xfId="978" xr:uid="{00000000-0005-0000-0000-0000981F0000}"/>
    <cellStyle name="Normal 9 2 6 2" xfId="3211" xr:uid="{00000000-0005-0000-0000-0000991F0000}"/>
    <cellStyle name="Normal 9 2 6 2 2" xfId="7434" xr:uid="{00000000-0005-0000-0000-00009A1F0000}"/>
    <cellStyle name="Normal 9 2 6 2 2 2" xfId="15876" xr:uid="{7A417E5D-6AA6-4AB7-8FD1-E3E2C35B6D79}"/>
    <cellStyle name="Normal 9 2 6 2 3" xfId="11658" xr:uid="{D420C781-6EF9-47F9-91F3-1382895B5620}"/>
    <cellStyle name="Normal 9 2 6 3" xfId="5289" xr:uid="{00000000-0005-0000-0000-00009B1F0000}"/>
    <cellStyle name="Normal 9 2 6 3 2" xfId="13731" xr:uid="{303A35E4-2847-477D-BCD4-E09E669E34A4}"/>
    <cellStyle name="Normal 9 2 6 4" xfId="9513" xr:uid="{13FFEB72-882C-4862-A1D1-0641EC7F685C}"/>
    <cellStyle name="Normal 9 2 7" xfId="1394" xr:uid="{00000000-0005-0000-0000-00009C1F0000}"/>
    <cellStyle name="Normal 9 2 7 2" xfId="3624" xr:uid="{00000000-0005-0000-0000-00009D1F0000}"/>
    <cellStyle name="Normal 9 2 7 2 2" xfId="7847" xr:uid="{00000000-0005-0000-0000-00009E1F0000}"/>
    <cellStyle name="Normal 9 2 7 2 2 2" xfId="16289" xr:uid="{E3EEA607-AA2C-4906-B199-D1D819B51249}"/>
    <cellStyle name="Normal 9 2 7 2 3" xfId="12071" xr:uid="{4BF7308A-C954-432A-8198-C9EA20222127}"/>
    <cellStyle name="Normal 9 2 7 3" xfId="5702" xr:uid="{00000000-0005-0000-0000-00009F1F0000}"/>
    <cellStyle name="Normal 9 2 7 3 2" xfId="14144" xr:uid="{FAA0E2D0-D359-4A03-AA0C-C46944E9F1DD}"/>
    <cellStyle name="Normal 9 2 7 4" xfId="9926" xr:uid="{64F5FC19-B827-414A-99D5-D4F72DB1DDAB}"/>
    <cellStyle name="Normal 9 2 8" xfId="1807" xr:uid="{00000000-0005-0000-0000-0000A01F0000}"/>
    <cellStyle name="Normal 9 2 8 2" xfId="4037" xr:uid="{00000000-0005-0000-0000-0000A11F0000}"/>
    <cellStyle name="Normal 9 2 8 2 2" xfId="8260" xr:uid="{00000000-0005-0000-0000-0000A21F0000}"/>
    <cellStyle name="Normal 9 2 8 2 2 2" xfId="16702" xr:uid="{9F262440-5062-4864-9ADA-883A76A1FE51}"/>
    <cellStyle name="Normal 9 2 8 2 3" xfId="12484" xr:uid="{F338CDCB-5BAF-44DA-8787-753899D490A3}"/>
    <cellStyle name="Normal 9 2 8 3" xfId="6115" xr:uid="{00000000-0005-0000-0000-0000A31F0000}"/>
    <cellStyle name="Normal 9 2 8 3 2" xfId="14557" xr:uid="{5B5E5CCD-5B89-4365-A45C-63E91839C1D1}"/>
    <cellStyle name="Normal 9 2 8 4" xfId="10339" xr:uid="{FC1E636F-15BF-4741-9E94-61A15B5DDDA8}"/>
    <cellStyle name="Normal 9 2 9" xfId="2221" xr:uid="{00000000-0005-0000-0000-0000A41F0000}"/>
    <cellStyle name="Normal 9 2 9 2" xfId="4450" xr:uid="{00000000-0005-0000-0000-0000A51F0000}"/>
    <cellStyle name="Normal 9 2 9 2 2" xfId="8673" xr:uid="{00000000-0005-0000-0000-0000A61F0000}"/>
    <cellStyle name="Normal 9 2 9 2 2 2" xfId="17115" xr:uid="{211E2744-AEE5-4D9C-8FE4-EB0991A0F185}"/>
    <cellStyle name="Normal 9 2 9 2 3" xfId="12897" xr:uid="{9FBF3633-9D2F-4B97-BD70-68575C7EB899}"/>
    <cellStyle name="Normal 9 2 9 3" xfId="6528" xr:uid="{00000000-0005-0000-0000-0000A71F0000}"/>
    <cellStyle name="Normal 9 2 9 3 2" xfId="14970" xr:uid="{23F150C1-6777-4E1D-BD90-37090517FE58}"/>
    <cellStyle name="Normal 9 2 9 4" xfId="10752" xr:uid="{30C99249-BD61-496A-8B45-DA50A62E3396}"/>
    <cellStyle name="Normal 9 3" xfId="527" xr:uid="{00000000-0005-0000-0000-0000A81F0000}"/>
    <cellStyle name="Normal 9 3 10" xfId="4892" xr:uid="{00000000-0005-0000-0000-0000A91F0000}"/>
    <cellStyle name="Normal 9 3 10 2" xfId="13334" xr:uid="{47CCCB43-35F2-4DB3-AAB7-0B7A4C3A6D0A}"/>
    <cellStyle name="Normal 9 3 11" xfId="9116" xr:uid="{A5E9C3C4-328B-432F-90FE-66B732869F89}"/>
    <cellStyle name="Normal 9 3 2" xfId="528" xr:uid="{00000000-0005-0000-0000-0000AA1F0000}"/>
    <cellStyle name="Normal 9 3 2 10" xfId="9117" xr:uid="{2C102E92-ECB0-486C-BA47-9991A59F645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D741E011-E229-4EC6-84DB-C889C87FB2FF}"/>
    <cellStyle name="Normal 9 3 2 2 2 2 2 3" xfId="11677" xr:uid="{22BB5835-6A55-4680-9155-E218B97CE75E}"/>
    <cellStyle name="Normal 9 3 2 2 2 2 3" xfId="5308" xr:uid="{00000000-0005-0000-0000-0000B01F0000}"/>
    <cellStyle name="Normal 9 3 2 2 2 2 3 2" xfId="13750" xr:uid="{94650DD7-991B-4FF0-9E58-A4D5A1B70187}"/>
    <cellStyle name="Normal 9 3 2 2 2 2 4" xfId="9532" xr:uid="{102FA637-4E93-4E06-BCF2-BD0F36398AC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CCB68149-9C5B-4795-A84D-88BD1C682692}"/>
    <cellStyle name="Normal 9 3 2 2 2 3 2 3" xfId="12090" xr:uid="{52AB0F0D-B0B0-4D0E-BD80-59B324886EA8}"/>
    <cellStyle name="Normal 9 3 2 2 2 3 3" xfId="5721" xr:uid="{00000000-0005-0000-0000-0000B41F0000}"/>
    <cellStyle name="Normal 9 3 2 2 2 3 3 2" xfId="14163" xr:uid="{1EAABAE9-48BA-4E0E-8555-DB7C3814D031}"/>
    <cellStyle name="Normal 9 3 2 2 2 3 4" xfId="9945" xr:uid="{FB497960-4ECD-49F7-851D-18D5D79341EF}"/>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2D9C1723-8EC2-4324-B769-B7F00485A833}"/>
    <cellStyle name="Normal 9 3 2 2 2 4 2 3" xfId="12503" xr:uid="{D137FE7F-C3D3-4589-A515-DC817BD36EA0}"/>
    <cellStyle name="Normal 9 3 2 2 2 4 3" xfId="6134" xr:uid="{00000000-0005-0000-0000-0000B81F0000}"/>
    <cellStyle name="Normal 9 3 2 2 2 4 3 2" xfId="14576" xr:uid="{E8DA176B-CC8A-4DD6-AEEE-133463BCCFB0}"/>
    <cellStyle name="Normal 9 3 2 2 2 4 4" xfId="10358" xr:uid="{4DE7DC7A-3DB0-48B2-AFE5-747269D1814A}"/>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11AA4689-8C01-4CE2-A48E-D1F99140985B}"/>
    <cellStyle name="Normal 9 3 2 2 2 5 2 3" xfId="12916" xr:uid="{92CCB1BC-4E42-4E24-BBA9-C4335E64430C}"/>
    <cellStyle name="Normal 9 3 2 2 2 5 3" xfId="6547" xr:uid="{00000000-0005-0000-0000-0000BC1F0000}"/>
    <cellStyle name="Normal 9 3 2 2 2 5 3 2" xfId="14989" xr:uid="{11CB0C9E-6060-4191-A3D8-0562ADC52D75}"/>
    <cellStyle name="Normal 9 3 2 2 2 5 4" xfId="10771" xr:uid="{A4D4B9B8-523A-4D65-A25F-A71E56F0E227}"/>
    <cellStyle name="Normal 9 3 2 2 2 6" xfId="2676" xr:uid="{00000000-0005-0000-0000-0000BD1F0000}"/>
    <cellStyle name="Normal 9 3 2 2 2 6 2" xfId="6960" xr:uid="{00000000-0005-0000-0000-0000BE1F0000}"/>
    <cellStyle name="Normal 9 3 2 2 2 6 2 2" xfId="15402" xr:uid="{956A2E57-D9DF-4C68-820C-7D6B2290D38C}"/>
    <cellStyle name="Normal 9 3 2 2 2 6 3" xfId="11184" xr:uid="{B552A6C9-2900-41AD-A43F-8AD97FDD6B84}"/>
    <cellStyle name="Normal 9 3 2 2 2 7" xfId="4895" xr:uid="{00000000-0005-0000-0000-0000BF1F0000}"/>
    <cellStyle name="Normal 9 3 2 2 2 7 2" xfId="13337" xr:uid="{7D05619B-C247-4D98-AEE5-FA5E48E1E8EF}"/>
    <cellStyle name="Normal 9 3 2 2 2 8" xfId="9119" xr:uid="{C7C621EE-FD99-42FF-9010-62B546B6E966}"/>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F16A6916-F112-4795-B75E-51D8664BA80B}"/>
    <cellStyle name="Normal 9 3 2 2 3 2 3" xfId="11676" xr:uid="{5C9464FA-1844-4493-B2AF-2334B7B15C4B}"/>
    <cellStyle name="Normal 9 3 2 2 3 3" xfId="5307" xr:uid="{00000000-0005-0000-0000-0000C31F0000}"/>
    <cellStyle name="Normal 9 3 2 2 3 3 2" xfId="13749" xr:uid="{1820C087-1027-4AB5-B854-380C0C3888BE}"/>
    <cellStyle name="Normal 9 3 2 2 3 4" xfId="9531" xr:uid="{585A569B-F2E5-4569-B2C5-12E97FCF5EF7}"/>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1D4AF62F-76A2-4424-A2AB-CAB19019BBA5}"/>
    <cellStyle name="Normal 9 3 2 2 4 2 3" xfId="12089" xr:uid="{F91B3E4A-D4ED-4C90-BAE7-58FD272FF03F}"/>
    <cellStyle name="Normal 9 3 2 2 4 3" xfId="5720" xr:uid="{00000000-0005-0000-0000-0000C71F0000}"/>
    <cellStyle name="Normal 9 3 2 2 4 3 2" xfId="14162" xr:uid="{F911E8BF-B5C5-441D-A9C3-469DF52D07BD}"/>
    <cellStyle name="Normal 9 3 2 2 4 4" xfId="9944" xr:uid="{FA062828-16D8-4A78-979A-BE29EDAECBEE}"/>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44783700-D81C-4F3E-9CE0-93BAA7D139D2}"/>
    <cellStyle name="Normal 9 3 2 2 5 2 3" xfId="12502" xr:uid="{2B560093-E5D7-4EC8-B8E8-955EA6C7D24C}"/>
    <cellStyle name="Normal 9 3 2 2 5 3" xfId="6133" xr:uid="{00000000-0005-0000-0000-0000CB1F0000}"/>
    <cellStyle name="Normal 9 3 2 2 5 3 2" xfId="14575" xr:uid="{B3A753A0-4DE6-46FA-A343-EAEBABABA95A}"/>
    <cellStyle name="Normal 9 3 2 2 5 4" xfId="10357" xr:uid="{2BC2314E-CB0A-472A-B503-7E7AEBB91F18}"/>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A10BFB8A-36B5-4747-BD15-DC9F3CD124C6}"/>
    <cellStyle name="Normal 9 3 2 2 6 2 3" xfId="12915" xr:uid="{03BDFE67-E035-4274-873C-C6C3B978F27B}"/>
    <cellStyle name="Normal 9 3 2 2 6 3" xfId="6546" xr:uid="{00000000-0005-0000-0000-0000CF1F0000}"/>
    <cellStyle name="Normal 9 3 2 2 6 3 2" xfId="14988" xr:uid="{0BE7BECE-77C2-4C1E-BF5F-3BA42B737A32}"/>
    <cellStyle name="Normal 9 3 2 2 6 4" xfId="10770" xr:uid="{D3999F75-1E0A-4282-9291-2D453FDA30A4}"/>
    <cellStyle name="Normal 9 3 2 2 7" xfId="2675" xr:uid="{00000000-0005-0000-0000-0000D01F0000}"/>
    <cellStyle name="Normal 9 3 2 2 7 2" xfId="6959" xr:uid="{00000000-0005-0000-0000-0000D11F0000}"/>
    <cellStyle name="Normal 9 3 2 2 7 2 2" xfId="15401" xr:uid="{BF316952-2A58-4C94-A0E8-DBECCA3A8474}"/>
    <cellStyle name="Normal 9 3 2 2 7 3" xfId="11183" xr:uid="{8FF86CBF-209E-4AD8-B2E4-DFBC00C55D9D}"/>
    <cellStyle name="Normal 9 3 2 2 8" xfId="4894" xr:uid="{00000000-0005-0000-0000-0000D21F0000}"/>
    <cellStyle name="Normal 9 3 2 2 8 2" xfId="13336" xr:uid="{4E882324-5085-4BD3-B1B8-7C899BEFB5B2}"/>
    <cellStyle name="Normal 9 3 2 2 9" xfId="9118" xr:uid="{C5CCE2A7-AA8B-425B-AD3C-31E9305A9E22}"/>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98E37F2B-5BD7-48CA-A2F2-29F08BFA9D7D}"/>
    <cellStyle name="Normal 9 3 2 3 2 2 3" xfId="11678" xr:uid="{05F2F02D-0C19-48CD-A91A-6DEDB18B7F64}"/>
    <cellStyle name="Normal 9 3 2 3 2 3" xfId="5309" xr:uid="{00000000-0005-0000-0000-0000D71F0000}"/>
    <cellStyle name="Normal 9 3 2 3 2 3 2" xfId="13751" xr:uid="{C3F21E06-0A60-4320-9633-EE707D3BAF85}"/>
    <cellStyle name="Normal 9 3 2 3 2 4" xfId="9533" xr:uid="{65FA487A-F891-44E6-8F5E-192A20BBE2B7}"/>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EC577072-E7FB-407B-A863-77AFC3B28D2A}"/>
    <cellStyle name="Normal 9 3 2 3 3 2 3" xfId="12091" xr:uid="{3BE6474D-5CD9-40D0-8E28-4E9AF2826F72}"/>
    <cellStyle name="Normal 9 3 2 3 3 3" xfId="5722" xr:uid="{00000000-0005-0000-0000-0000DB1F0000}"/>
    <cellStyle name="Normal 9 3 2 3 3 3 2" xfId="14164" xr:uid="{B2ED1419-052C-4036-B603-900822C6B49D}"/>
    <cellStyle name="Normal 9 3 2 3 3 4" xfId="9946" xr:uid="{F3823B5C-4E62-47F1-B19A-57491221BC36}"/>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991CCB16-2A0E-4334-81D4-639DA82DC8A6}"/>
    <cellStyle name="Normal 9 3 2 3 4 2 3" xfId="12504" xr:uid="{9507346A-2788-42A8-9264-7D2644C0C6F8}"/>
    <cellStyle name="Normal 9 3 2 3 4 3" xfId="6135" xr:uid="{00000000-0005-0000-0000-0000DF1F0000}"/>
    <cellStyle name="Normal 9 3 2 3 4 3 2" xfId="14577" xr:uid="{1781258D-A82F-42C2-9C16-74E27477E4B1}"/>
    <cellStyle name="Normal 9 3 2 3 4 4" xfId="10359" xr:uid="{CEAB65FE-33EC-4FDE-AB0F-CE2F9120E04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17BD74DB-EEF2-4873-B900-EFC8AA50DB2D}"/>
    <cellStyle name="Normal 9 3 2 3 5 2 3" xfId="12917" xr:uid="{5FD28E8B-E119-4259-A10D-B9D8635A5D55}"/>
    <cellStyle name="Normal 9 3 2 3 5 3" xfId="6548" xr:uid="{00000000-0005-0000-0000-0000E31F0000}"/>
    <cellStyle name="Normal 9 3 2 3 5 3 2" xfId="14990" xr:uid="{BC82E369-6DDD-43F3-9918-931143235094}"/>
    <cellStyle name="Normal 9 3 2 3 5 4" xfId="10772" xr:uid="{69A9BC1C-92F5-4E68-954A-A1DD2CF5ECED}"/>
    <cellStyle name="Normal 9 3 2 3 6" xfId="2677" xr:uid="{00000000-0005-0000-0000-0000E41F0000}"/>
    <cellStyle name="Normal 9 3 2 3 6 2" xfId="6961" xr:uid="{00000000-0005-0000-0000-0000E51F0000}"/>
    <cellStyle name="Normal 9 3 2 3 6 2 2" xfId="15403" xr:uid="{A46D818D-E891-4413-90F6-F69FF7C1A30E}"/>
    <cellStyle name="Normal 9 3 2 3 6 3" xfId="11185" xr:uid="{5B008EE9-D43E-4AF5-B05C-1D1AFE5897A3}"/>
    <cellStyle name="Normal 9 3 2 3 7" xfId="4896" xr:uid="{00000000-0005-0000-0000-0000E61F0000}"/>
    <cellStyle name="Normal 9 3 2 3 7 2" xfId="13338" xr:uid="{4E885BC9-A927-48AB-9652-8E9BFA1B55AB}"/>
    <cellStyle name="Normal 9 3 2 3 8" xfId="9120" xr:uid="{08C9E521-61C7-4D3C-8B5B-7E19C9C2F615}"/>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3687E02D-1252-4607-B97E-15A8C38996D2}"/>
    <cellStyle name="Normal 9 3 2 4 2 3" xfId="11675" xr:uid="{D5D7A906-5863-423B-8F06-C2C48BA2363D}"/>
    <cellStyle name="Normal 9 3 2 4 3" xfId="5306" xr:uid="{00000000-0005-0000-0000-0000EA1F0000}"/>
    <cellStyle name="Normal 9 3 2 4 3 2" xfId="13748" xr:uid="{471B07F8-7E08-427F-A879-475BCCFEA657}"/>
    <cellStyle name="Normal 9 3 2 4 4" xfId="9530" xr:uid="{5975B514-CA95-44B6-8699-CDEC71D9BF45}"/>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D96E5B28-CB54-4489-B5A4-9BA8C549C7A3}"/>
    <cellStyle name="Normal 9 3 2 5 2 3" xfId="12088" xr:uid="{5033ACB6-643E-4354-A59E-269F283FB0F8}"/>
    <cellStyle name="Normal 9 3 2 5 3" xfId="5719" xr:uid="{00000000-0005-0000-0000-0000EE1F0000}"/>
    <cellStyle name="Normal 9 3 2 5 3 2" xfId="14161" xr:uid="{812A16F9-8956-4FD0-A67C-84D25684D4B5}"/>
    <cellStyle name="Normal 9 3 2 5 4" xfId="9943" xr:uid="{F18D1A4F-4E3F-4EF5-BF08-86BDD0511E6C}"/>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50BFBA4D-60C9-4E45-BF67-B60CA2FBD436}"/>
    <cellStyle name="Normal 9 3 2 6 2 3" xfId="12501" xr:uid="{B3D040F0-602C-4C89-92B8-9E8AA495E081}"/>
    <cellStyle name="Normal 9 3 2 6 3" xfId="6132" xr:uid="{00000000-0005-0000-0000-0000F21F0000}"/>
    <cellStyle name="Normal 9 3 2 6 3 2" xfId="14574" xr:uid="{A24B7143-DD53-4D49-884C-2AEF56E22474}"/>
    <cellStyle name="Normal 9 3 2 6 4" xfId="10356" xr:uid="{C933F55D-9C36-4FF7-966D-32CD9D91B72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690A08AA-E54E-43AA-9CA1-1DA094D5CEB6}"/>
    <cellStyle name="Normal 9 3 2 7 2 3" xfId="12914" xr:uid="{11EFCF92-40C3-4096-9EFE-9F0457D0C354}"/>
    <cellStyle name="Normal 9 3 2 7 3" xfId="6545" xr:uid="{00000000-0005-0000-0000-0000F61F0000}"/>
    <cellStyle name="Normal 9 3 2 7 3 2" xfId="14987" xr:uid="{92920E8F-6078-4D16-8970-68F02355937B}"/>
    <cellStyle name="Normal 9 3 2 7 4" xfId="10769" xr:uid="{25F35EE1-A542-48C4-92CB-B944807DB72D}"/>
    <cellStyle name="Normal 9 3 2 8" xfId="2674" xr:uid="{00000000-0005-0000-0000-0000F71F0000}"/>
    <cellStyle name="Normal 9 3 2 8 2" xfId="6958" xr:uid="{00000000-0005-0000-0000-0000F81F0000}"/>
    <cellStyle name="Normal 9 3 2 8 2 2" xfId="15400" xr:uid="{F8B08CB5-021A-4EC4-AE6B-794607B92121}"/>
    <cellStyle name="Normal 9 3 2 8 3" xfId="11182" xr:uid="{04AFA678-A10A-4F56-A3A4-65BC57D75D28}"/>
    <cellStyle name="Normal 9 3 2 9" xfId="4893" xr:uid="{00000000-0005-0000-0000-0000F91F0000}"/>
    <cellStyle name="Normal 9 3 2 9 2" xfId="13335" xr:uid="{1C261C76-9B2B-4236-8555-526219F8374C}"/>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9B6BDA71-0CCD-4CF5-BA0C-63FC74002F03}"/>
    <cellStyle name="Normal 9 3 3 2 2 2 3" xfId="11680" xr:uid="{8622C723-FC9E-4AA8-898F-472456F5CF98}"/>
    <cellStyle name="Normal 9 3 3 2 2 3" xfId="5311" xr:uid="{00000000-0005-0000-0000-0000FF1F0000}"/>
    <cellStyle name="Normal 9 3 3 2 2 3 2" xfId="13753" xr:uid="{67BDF0C8-111B-49AE-A98D-4A0623FE54C1}"/>
    <cellStyle name="Normal 9 3 3 2 2 4" xfId="9535" xr:uid="{37917243-A750-4339-829C-57EA7B51CED2}"/>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2F24850D-4108-47B7-A2A1-10D4571E75D3}"/>
    <cellStyle name="Normal 9 3 3 2 3 2 3" xfId="12093" xr:uid="{85BA2A42-930B-48D2-AD1E-2223DC6F24C2}"/>
    <cellStyle name="Normal 9 3 3 2 3 3" xfId="5724" xr:uid="{00000000-0005-0000-0000-000003200000}"/>
    <cellStyle name="Normal 9 3 3 2 3 3 2" xfId="14166" xr:uid="{FA1FE7F8-4976-4884-8ACA-C94264A84CEE}"/>
    <cellStyle name="Normal 9 3 3 2 3 4" xfId="9948" xr:uid="{3575F88B-E71C-4935-B3FF-A2E8C737916C}"/>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F4E4CDD8-ECA7-4C81-AB32-AEE067325700}"/>
    <cellStyle name="Normal 9 3 3 2 4 2 3" xfId="12506" xr:uid="{41DA4441-E953-455F-8A7C-3FF79DA77973}"/>
    <cellStyle name="Normal 9 3 3 2 4 3" xfId="6137" xr:uid="{00000000-0005-0000-0000-000007200000}"/>
    <cellStyle name="Normal 9 3 3 2 4 3 2" xfId="14579" xr:uid="{E29196CF-F797-4DA2-B563-D8A2B6677979}"/>
    <cellStyle name="Normal 9 3 3 2 4 4" xfId="10361" xr:uid="{06867D04-E583-48A5-BC95-ABE74F7C417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46AB9807-A46B-4778-ACD8-5461FF9DE5C9}"/>
    <cellStyle name="Normal 9 3 3 2 5 2 3" xfId="12919" xr:uid="{46D4206F-76B2-42FD-A909-A9DAF88474D2}"/>
    <cellStyle name="Normal 9 3 3 2 5 3" xfId="6550" xr:uid="{00000000-0005-0000-0000-00000B200000}"/>
    <cellStyle name="Normal 9 3 3 2 5 3 2" xfId="14992" xr:uid="{1809527A-9C32-4AC9-A593-DF7447996926}"/>
    <cellStyle name="Normal 9 3 3 2 5 4" xfId="10774" xr:uid="{7D78FFD6-C09A-4744-B9C9-18EDE7C3ED84}"/>
    <cellStyle name="Normal 9 3 3 2 6" xfId="2679" xr:uid="{00000000-0005-0000-0000-00000C200000}"/>
    <cellStyle name="Normal 9 3 3 2 6 2" xfId="6963" xr:uid="{00000000-0005-0000-0000-00000D200000}"/>
    <cellStyle name="Normal 9 3 3 2 6 2 2" xfId="15405" xr:uid="{B464D47C-90D5-485C-984B-81C9AE29F411}"/>
    <cellStyle name="Normal 9 3 3 2 6 3" xfId="11187" xr:uid="{EDC2FD21-5C86-4740-807A-614A189E6F71}"/>
    <cellStyle name="Normal 9 3 3 2 7" xfId="4898" xr:uid="{00000000-0005-0000-0000-00000E200000}"/>
    <cellStyle name="Normal 9 3 3 2 7 2" xfId="13340" xr:uid="{CEA5A14E-C843-43BB-954E-B0818DB29D06}"/>
    <cellStyle name="Normal 9 3 3 2 8" xfId="9122" xr:uid="{8BBA330E-53FD-4897-9F2D-7F7E884C5BCA}"/>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A49259E7-F891-420A-A3F2-8BD6CC7A895C}"/>
    <cellStyle name="Normal 9 3 3 3 2 3" xfId="11679" xr:uid="{0AD7B15D-43DA-4997-9258-BAF9A5F2C31A}"/>
    <cellStyle name="Normal 9 3 3 3 3" xfId="5310" xr:uid="{00000000-0005-0000-0000-000012200000}"/>
    <cellStyle name="Normal 9 3 3 3 3 2" xfId="13752" xr:uid="{EAF42D35-34B6-4250-9CE9-E02E2FBFDE86}"/>
    <cellStyle name="Normal 9 3 3 3 4" xfId="9534" xr:uid="{6AA7FB5C-8E38-411E-8041-01D0113BEA80}"/>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6EE2694E-1453-4E57-ADA2-ABA358E64826}"/>
    <cellStyle name="Normal 9 3 3 4 2 3" xfId="12092" xr:uid="{95647AAC-D218-4071-9990-12D5EB23F032}"/>
    <cellStyle name="Normal 9 3 3 4 3" xfId="5723" xr:uid="{00000000-0005-0000-0000-000016200000}"/>
    <cellStyle name="Normal 9 3 3 4 3 2" xfId="14165" xr:uid="{D4562400-CE13-4F62-AA69-3D9E23E84433}"/>
    <cellStyle name="Normal 9 3 3 4 4" xfId="9947" xr:uid="{082BBA83-B5FF-4639-8BD4-B9BCF5677C5B}"/>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6F9FA8F8-DCB5-4217-B2AD-D0AEEA0D7A71}"/>
    <cellStyle name="Normal 9 3 3 5 2 3" xfId="12505" xr:uid="{D20AF612-0113-4610-A8CC-D9D109A124DF}"/>
    <cellStyle name="Normal 9 3 3 5 3" xfId="6136" xr:uid="{00000000-0005-0000-0000-00001A200000}"/>
    <cellStyle name="Normal 9 3 3 5 3 2" xfId="14578" xr:uid="{9F433068-F4AE-4E80-9A2D-DE85883B4FC9}"/>
    <cellStyle name="Normal 9 3 3 5 4" xfId="10360" xr:uid="{979C45ED-92E8-4A62-9885-A8E26AF4876C}"/>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6E668221-971A-4914-A963-6CF61B58BB34}"/>
    <cellStyle name="Normal 9 3 3 6 2 3" xfId="12918" xr:uid="{FACE1F88-4910-4D7A-94C0-05FEF82A51F8}"/>
    <cellStyle name="Normal 9 3 3 6 3" xfId="6549" xr:uid="{00000000-0005-0000-0000-00001E200000}"/>
    <cellStyle name="Normal 9 3 3 6 3 2" xfId="14991" xr:uid="{6B994410-3D28-4255-B7BD-3522FF0A575B}"/>
    <cellStyle name="Normal 9 3 3 6 4" xfId="10773" xr:uid="{3B745E64-0AA1-43B7-9981-D9056FEB880D}"/>
    <cellStyle name="Normal 9 3 3 7" xfId="2678" xr:uid="{00000000-0005-0000-0000-00001F200000}"/>
    <cellStyle name="Normal 9 3 3 7 2" xfId="6962" xr:uid="{00000000-0005-0000-0000-000020200000}"/>
    <cellStyle name="Normal 9 3 3 7 2 2" xfId="15404" xr:uid="{EF3256B0-C3B9-4FDE-8484-F992B0C1179C}"/>
    <cellStyle name="Normal 9 3 3 7 3" xfId="11186" xr:uid="{EF34AB13-5714-4238-902C-00114512F32D}"/>
    <cellStyle name="Normal 9 3 3 8" xfId="4897" xr:uid="{00000000-0005-0000-0000-000021200000}"/>
    <cellStyle name="Normal 9 3 3 8 2" xfId="13339" xr:uid="{53D3D625-F78C-40A8-8CD9-37BE6CBF7B75}"/>
    <cellStyle name="Normal 9 3 3 9" xfId="9121" xr:uid="{7B21E40E-F7E6-4155-9F08-6CF7D629534C}"/>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7B89FB05-40CF-406E-A7DE-D0ADD0B69986}"/>
    <cellStyle name="Normal 9 3 4 2 2 3" xfId="11681" xr:uid="{495C0276-370B-41D2-BE18-2E61526E479B}"/>
    <cellStyle name="Normal 9 3 4 2 3" xfId="5312" xr:uid="{00000000-0005-0000-0000-000026200000}"/>
    <cellStyle name="Normal 9 3 4 2 3 2" xfId="13754" xr:uid="{E171272D-085A-445F-8878-198643864390}"/>
    <cellStyle name="Normal 9 3 4 2 4" xfId="9536" xr:uid="{9E43EC0B-934F-4F0C-A3D9-F5550B104AE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086836B0-F915-432F-857E-360AF3717066}"/>
    <cellStyle name="Normal 9 3 4 3 2 3" xfId="12094" xr:uid="{13C97FBE-0A23-40F9-836C-C36CA4BF8EEC}"/>
    <cellStyle name="Normal 9 3 4 3 3" xfId="5725" xr:uid="{00000000-0005-0000-0000-00002A200000}"/>
    <cellStyle name="Normal 9 3 4 3 3 2" xfId="14167" xr:uid="{5F09D18B-F5A2-41CB-96CA-A920B12AF985}"/>
    <cellStyle name="Normal 9 3 4 3 4" xfId="9949" xr:uid="{9941B1D9-47E9-4B8C-BE30-463504DDFCF3}"/>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C9B94D49-D1C0-4665-9A7E-D7F814E7105F}"/>
    <cellStyle name="Normal 9 3 4 4 2 3" xfId="12507" xr:uid="{CD8806BE-FF0A-4ECC-84C8-A0D776B503B6}"/>
    <cellStyle name="Normal 9 3 4 4 3" xfId="6138" xr:uid="{00000000-0005-0000-0000-00002E200000}"/>
    <cellStyle name="Normal 9 3 4 4 3 2" xfId="14580" xr:uid="{3B8D65C2-36B3-48E0-BEDA-58EA4FCBAB5F}"/>
    <cellStyle name="Normal 9 3 4 4 4" xfId="10362" xr:uid="{3BC5EE84-FE9E-49F4-AEE0-B4821D729724}"/>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F5E74415-CABC-48EE-9ADA-6874FFA42F50}"/>
    <cellStyle name="Normal 9 3 4 5 2 3" xfId="12920" xr:uid="{F0D1E9C7-349B-4D60-931A-74CAAE860AEB}"/>
    <cellStyle name="Normal 9 3 4 5 3" xfId="6551" xr:uid="{00000000-0005-0000-0000-000032200000}"/>
    <cellStyle name="Normal 9 3 4 5 3 2" xfId="14993" xr:uid="{92972F33-8AA2-43F8-9894-C7A9286BE9C9}"/>
    <cellStyle name="Normal 9 3 4 5 4" xfId="10775" xr:uid="{40429726-290A-4AA9-B338-9F11AF6B67D8}"/>
    <cellStyle name="Normal 9 3 4 6" xfId="2680" xr:uid="{00000000-0005-0000-0000-000033200000}"/>
    <cellStyle name="Normal 9 3 4 6 2" xfId="6964" xr:uid="{00000000-0005-0000-0000-000034200000}"/>
    <cellStyle name="Normal 9 3 4 6 2 2" xfId="15406" xr:uid="{81987541-5696-438B-8831-30580D76FDF0}"/>
    <cellStyle name="Normal 9 3 4 6 3" xfId="11188" xr:uid="{BCE44DAB-1645-4CC9-92D0-1A13DE26F168}"/>
    <cellStyle name="Normal 9 3 4 7" xfId="4899" xr:uid="{00000000-0005-0000-0000-000035200000}"/>
    <cellStyle name="Normal 9 3 4 7 2" xfId="13341" xr:uid="{850AAEB8-CBAD-4B13-A3BD-48D58130245D}"/>
    <cellStyle name="Normal 9 3 4 8" xfId="9123" xr:uid="{90C55205-BD67-4FF1-8EE2-CCF22C65E987}"/>
    <cellStyle name="Normal 9 3 5" xfId="994" xr:uid="{00000000-0005-0000-0000-000036200000}"/>
    <cellStyle name="Normal 9 3 5 2" xfId="3227" xr:uid="{00000000-0005-0000-0000-000037200000}"/>
    <cellStyle name="Normal 9 3 5 2 2" xfId="7450" xr:uid="{00000000-0005-0000-0000-000038200000}"/>
    <cellStyle name="Normal 9 3 5 2 2 2" xfId="15892" xr:uid="{BFCC4EDA-E91C-4A4B-91FF-D156E4A64860}"/>
    <cellStyle name="Normal 9 3 5 2 3" xfId="11674" xr:uid="{3CF3B89C-0828-4FC2-BC60-51E757C48024}"/>
    <cellStyle name="Normal 9 3 5 3" xfId="5305" xr:uid="{00000000-0005-0000-0000-000039200000}"/>
    <cellStyle name="Normal 9 3 5 3 2" xfId="13747" xr:uid="{0D18D853-AB54-473C-8BDE-63866C29AE15}"/>
    <cellStyle name="Normal 9 3 5 4" xfId="9529" xr:uid="{3EFBFDE1-8A94-4C62-9CC8-49DCB4C1A8FC}"/>
    <cellStyle name="Normal 9 3 6" xfId="1410" xr:uid="{00000000-0005-0000-0000-00003A200000}"/>
    <cellStyle name="Normal 9 3 6 2" xfId="3640" xr:uid="{00000000-0005-0000-0000-00003B200000}"/>
    <cellStyle name="Normal 9 3 6 2 2" xfId="7863" xr:uid="{00000000-0005-0000-0000-00003C200000}"/>
    <cellStyle name="Normal 9 3 6 2 2 2" xfId="16305" xr:uid="{0890FF66-745B-4213-9DAD-7A6DD3757934}"/>
    <cellStyle name="Normal 9 3 6 2 3" xfId="12087" xr:uid="{3EED905A-F70F-4F0C-8AA6-E04884D85995}"/>
    <cellStyle name="Normal 9 3 6 3" xfId="5718" xr:uid="{00000000-0005-0000-0000-00003D200000}"/>
    <cellStyle name="Normal 9 3 6 3 2" xfId="14160" xr:uid="{631D5E31-6E77-43E1-A35A-DCAF6FD13231}"/>
    <cellStyle name="Normal 9 3 6 4" xfId="9942" xr:uid="{7EB3E09C-1AF0-41E3-8B09-571B6F270126}"/>
    <cellStyle name="Normal 9 3 7" xfId="1823" xr:uid="{00000000-0005-0000-0000-00003E200000}"/>
    <cellStyle name="Normal 9 3 7 2" xfId="4053" xr:uid="{00000000-0005-0000-0000-00003F200000}"/>
    <cellStyle name="Normal 9 3 7 2 2" xfId="8276" xr:uid="{00000000-0005-0000-0000-000040200000}"/>
    <cellStyle name="Normal 9 3 7 2 2 2" xfId="16718" xr:uid="{AF4B3794-3483-4217-A697-091D524980CA}"/>
    <cellStyle name="Normal 9 3 7 2 3" xfId="12500" xr:uid="{515F804D-8557-4EC7-A647-3AB2F593CD41}"/>
    <cellStyle name="Normal 9 3 7 3" xfId="6131" xr:uid="{00000000-0005-0000-0000-000041200000}"/>
    <cellStyle name="Normal 9 3 7 3 2" xfId="14573" xr:uid="{429B4C08-6C11-4809-817A-E614AEE940A9}"/>
    <cellStyle name="Normal 9 3 7 4" xfId="10355" xr:uid="{079AB6A0-0A9A-4E91-9C95-2D117D0C313E}"/>
    <cellStyle name="Normal 9 3 8" xfId="2237" xr:uid="{00000000-0005-0000-0000-000042200000}"/>
    <cellStyle name="Normal 9 3 8 2" xfId="4466" xr:uid="{00000000-0005-0000-0000-000043200000}"/>
    <cellStyle name="Normal 9 3 8 2 2" xfId="8689" xr:uid="{00000000-0005-0000-0000-000044200000}"/>
    <cellStyle name="Normal 9 3 8 2 2 2" xfId="17131" xr:uid="{77C3A765-9CB3-4F69-8D9E-50E8A7DE42C9}"/>
    <cellStyle name="Normal 9 3 8 2 3" xfId="12913" xr:uid="{F5D96EFD-0C6A-4602-86AF-11A97CF0DCBD}"/>
    <cellStyle name="Normal 9 3 8 3" xfId="6544" xr:uid="{00000000-0005-0000-0000-000045200000}"/>
    <cellStyle name="Normal 9 3 8 3 2" xfId="14986" xr:uid="{B6DD2B32-E05E-4556-A0D7-B09C180A3D03}"/>
    <cellStyle name="Normal 9 3 8 4" xfId="10768" xr:uid="{5C3C00F2-6B65-45D5-BC6E-6EEFA65ADC13}"/>
    <cellStyle name="Normal 9 3 9" xfId="2673" xr:uid="{00000000-0005-0000-0000-000046200000}"/>
    <cellStyle name="Normal 9 3 9 2" xfId="6957" xr:uid="{00000000-0005-0000-0000-000047200000}"/>
    <cellStyle name="Normal 9 3 9 2 2" xfId="15399" xr:uid="{10AD724C-A1BD-4E5E-AA93-C138362330B8}"/>
    <cellStyle name="Normal 9 3 9 3" xfId="11181" xr:uid="{62E72673-A795-4450-ABBB-8FEB46A43777}"/>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3070D403-D750-4229-8EF7-D00081CD956F}"/>
    <cellStyle name="Normal 9 5 2 2 2 3" xfId="11683" xr:uid="{13A334FB-04D1-4207-BB60-7685D49D24E1}"/>
    <cellStyle name="Normal 9 5 2 2 3" xfId="5314" xr:uid="{00000000-0005-0000-0000-00004F200000}"/>
    <cellStyle name="Normal 9 5 2 2 3 2" xfId="13756" xr:uid="{4501057B-BC8C-46CC-8B05-983F6B666F33}"/>
    <cellStyle name="Normal 9 5 2 2 4" xfId="9538" xr:uid="{06971A2C-F45D-4689-87BF-463F87A2F50B}"/>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AFF0F03E-BF65-41F1-B07C-2D1161993A30}"/>
    <cellStyle name="Normal 9 5 2 3 2 3" xfId="12096" xr:uid="{D7F3199E-51FE-4C89-A6E3-FAE6969D2471}"/>
    <cellStyle name="Normal 9 5 2 3 3" xfId="5727" xr:uid="{00000000-0005-0000-0000-000053200000}"/>
    <cellStyle name="Normal 9 5 2 3 3 2" xfId="14169" xr:uid="{DF38BE71-53CA-4BCE-B26F-23162BC80647}"/>
    <cellStyle name="Normal 9 5 2 3 4" xfId="9951" xr:uid="{A1201E33-E1BC-43E3-807F-10E0C84A3957}"/>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E50E85D2-BAA1-4C2C-83AE-D8881CA6548E}"/>
    <cellStyle name="Normal 9 5 2 4 2 3" xfId="12509" xr:uid="{791C77B3-BC21-4985-8145-0A3D48C9C061}"/>
    <cellStyle name="Normal 9 5 2 4 3" xfId="6140" xr:uid="{00000000-0005-0000-0000-000057200000}"/>
    <cellStyle name="Normal 9 5 2 4 3 2" xfId="14582" xr:uid="{A52EDE98-5C97-43E6-9D31-5B543C7CA3FE}"/>
    <cellStyle name="Normal 9 5 2 4 4" xfId="10364" xr:uid="{5F2E2E9C-D0A8-4830-92FC-4072B68EA08A}"/>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F8AE3236-B407-44CF-B829-3FA595950F48}"/>
    <cellStyle name="Normal 9 5 2 5 2 3" xfId="12922" xr:uid="{DECADE03-AF84-4081-883D-03E63C5224B3}"/>
    <cellStyle name="Normal 9 5 2 5 3" xfId="6553" xr:uid="{00000000-0005-0000-0000-00005B200000}"/>
    <cellStyle name="Normal 9 5 2 5 3 2" xfId="14995" xr:uid="{1CD205ED-5778-43FA-A501-D34964F7C01F}"/>
    <cellStyle name="Normal 9 5 2 5 4" xfId="10777" xr:uid="{2B80A5D5-B7B8-43A9-AFCE-3E0943939B58}"/>
    <cellStyle name="Normal 9 5 2 6" xfId="2682" xr:uid="{00000000-0005-0000-0000-00005C200000}"/>
    <cellStyle name="Normal 9 5 2 6 2" xfId="6966" xr:uid="{00000000-0005-0000-0000-00005D200000}"/>
    <cellStyle name="Normal 9 5 2 6 2 2" xfId="15408" xr:uid="{5DF6513B-F683-4A76-8550-097228E33119}"/>
    <cellStyle name="Normal 9 5 2 6 3" xfId="11190" xr:uid="{B63EE74A-C7D8-4462-8205-EE2FF9E2D624}"/>
    <cellStyle name="Normal 9 5 2 7" xfId="4901" xr:uid="{00000000-0005-0000-0000-00005E200000}"/>
    <cellStyle name="Normal 9 5 2 7 2" xfId="13343" xr:uid="{8FD2F22E-0D09-488E-88D7-98DEC5189660}"/>
    <cellStyle name="Normal 9 5 2 8" xfId="9125" xr:uid="{961A5C8E-30BA-4648-AE42-564032E5E348}"/>
    <cellStyle name="Normal 9 5 3" xfId="1003" xr:uid="{00000000-0005-0000-0000-00005F200000}"/>
    <cellStyle name="Normal 9 5 3 2" xfId="3235" xr:uid="{00000000-0005-0000-0000-000060200000}"/>
    <cellStyle name="Normal 9 5 3 2 2" xfId="7458" xr:uid="{00000000-0005-0000-0000-000061200000}"/>
    <cellStyle name="Normal 9 5 3 2 2 2" xfId="15900" xr:uid="{705905A7-339F-4607-B086-2BEFE6801255}"/>
    <cellStyle name="Normal 9 5 3 2 3" xfId="11682" xr:uid="{B79A4C92-8F7A-4932-B63E-D5CFAD3DBF16}"/>
    <cellStyle name="Normal 9 5 3 3" xfId="5313" xr:uid="{00000000-0005-0000-0000-000062200000}"/>
    <cellStyle name="Normal 9 5 3 3 2" xfId="13755" xr:uid="{BF1C8231-5893-432A-BA33-3341A9466F22}"/>
    <cellStyle name="Normal 9 5 3 4" xfId="9537" xr:uid="{C03CCC15-E2D6-4BDE-B944-102F802BDA88}"/>
    <cellStyle name="Normal 9 5 4" xfId="1418" xr:uid="{00000000-0005-0000-0000-000063200000}"/>
    <cellStyle name="Normal 9 5 4 2" xfId="3648" xr:uid="{00000000-0005-0000-0000-000064200000}"/>
    <cellStyle name="Normal 9 5 4 2 2" xfId="7871" xr:uid="{00000000-0005-0000-0000-000065200000}"/>
    <cellStyle name="Normal 9 5 4 2 2 2" xfId="16313" xr:uid="{0B6E827D-DFD9-4312-8FC5-E006AF3005A5}"/>
    <cellStyle name="Normal 9 5 4 2 3" xfId="12095" xr:uid="{45276733-AE8A-4721-A975-CA1F170232D8}"/>
    <cellStyle name="Normal 9 5 4 3" xfId="5726" xr:uid="{00000000-0005-0000-0000-000066200000}"/>
    <cellStyle name="Normal 9 5 4 3 2" xfId="14168" xr:uid="{6BC3719F-D44F-462E-B689-8768816EF50E}"/>
    <cellStyle name="Normal 9 5 4 4" xfId="9950" xr:uid="{F4273BFB-38EA-47DD-B0FF-0A2D45A284D5}"/>
    <cellStyle name="Normal 9 5 5" xfId="1831" xr:uid="{00000000-0005-0000-0000-000067200000}"/>
    <cellStyle name="Normal 9 5 5 2" xfId="4061" xr:uid="{00000000-0005-0000-0000-000068200000}"/>
    <cellStyle name="Normal 9 5 5 2 2" xfId="8284" xr:uid="{00000000-0005-0000-0000-000069200000}"/>
    <cellStyle name="Normal 9 5 5 2 2 2" xfId="16726" xr:uid="{9A41965B-F186-49C2-A427-F309495A849A}"/>
    <cellStyle name="Normal 9 5 5 2 3" xfId="12508" xr:uid="{FDB12F5A-DEC8-4CB9-ACD9-2C66CC18B017}"/>
    <cellStyle name="Normal 9 5 5 3" xfId="6139" xr:uid="{00000000-0005-0000-0000-00006A200000}"/>
    <cellStyle name="Normal 9 5 5 3 2" xfId="14581" xr:uid="{358BCB35-5521-4057-9C9E-3C2F342BA4CC}"/>
    <cellStyle name="Normal 9 5 5 4" xfId="10363" xr:uid="{C51A1394-7EA0-4583-8880-9ECC2649EDFF}"/>
    <cellStyle name="Normal 9 5 6" xfId="2245" xr:uid="{00000000-0005-0000-0000-00006B200000}"/>
    <cellStyle name="Normal 9 5 6 2" xfId="4474" xr:uid="{00000000-0005-0000-0000-00006C200000}"/>
    <cellStyle name="Normal 9 5 6 2 2" xfId="8697" xr:uid="{00000000-0005-0000-0000-00006D200000}"/>
    <cellStyle name="Normal 9 5 6 2 2 2" xfId="17139" xr:uid="{0E12597C-74C9-4222-99BF-B95A993D856A}"/>
    <cellStyle name="Normal 9 5 6 2 3" xfId="12921" xr:uid="{F55C17A8-FC69-4D56-8E7D-690F9A9EA44B}"/>
    <cellStyle name="Normal 9 5 6 3" xfId="6552" xr:uid="{00000000-0005-0000-0000-00006E200000}"/>
    <cellStyle name="Normal 9 5 6 3 2" xfId="14994" xr:uid="{C68FB2BF-45C0-4130-9510-77B052405E25}"/>
    <cellStyle name="Normal 9 5 6 4" xfId="10776" xr:uid="{7086E755-F8C0-462B-9921-386EDA8A7B77}"/>
    <cellStyle name="Normal 9 5 7" xfId="2681" xr:uid="{00000000-0005-0000-0000-00006F200000}"/>
    <cellStyle name="Normal 9 5 7 2" xfId="6965" xr:uid="{00000000-0005-0000-0000-000070200000}"/>
    <cellStyle name="Normal 9 5 7 2 2" xfId="15407" xr:uid="{673CB72C-D172-4754-8882-FFE6F4F918AE}"/>
    <cellStyle name="Normal 9 5 7 3" xfId="11189" xr:uid="{10A0ABAB-4920-49C7-BE62-719378FB9236}"/>
    <cellStyle name="Normal 9 5 8" xfId="4900" xr:uid="{00000000-0005-0000-0000-000071200000}"/>
    <cellStyle name="Normal 9 5 8 2" xfId="13342" xr:uid="{495B2762-4E80-479F-B7CA-AFE3C3B23179}"/>
    <cellStyle name="Normal 9 5 9" xfId="9124" xr:uid="{D624E2A9-1529-48E3-9809-56535078311B}"/>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4591F2C6-32B3-455C-A47F-008A1382AE33}"/>
    <cellStyle name="Normal 9 6 2 2 3" xfId="11684" xr:uid="{35586C81-B621-42AE-88D4-744A73FB83AA}"/>
    <cellStyle name="Normal 9 6 2 3" xfId="5315" xr:uid="{00000000-0005-0000-0000-000076200000}"/>
    <cellStyle name="Normal 9 6 2 3 2" xfId="13757" xr:uid="{D9B21443-BFC5-4119-BD5E-B1DC338F75CB}"/>
    <cellStyle name="Normal 9 6 2 4" xfId="9539" xr:uid="{B785CC69-0E22-4DE4-8693-8F0363C5968A}"/>
    <cellStyle name="Normal 9 6 3" xfId="1420" xr:uid="{00000000-0005-0000-0000-000077200000}"/>
    <cellStyle name="Normal 9 6 3 2" xfId="3650" xr:uid="{00000000-0005-0000-0000-000078200000}"/>
    <cellStyle name="Normal 9 6 3 2 2" xfId="7873" xr:uid="{00000000-0005-0000-0000-000079200000}"/>
    <cellStyle name="Normal 9 6 3 2 2 2" xfId="16315" xr:uid="{5B7EBEA4-DFF9-40A8-AA31-BC4C6F412A8F}"/>
    <cellStyle name="Normal 9 6 3 2 3" xfId="12097" xr:uid="{8097FE84-0C12-4C93-94E2-4933024DAFB8}"/>
    <cellStyle name="Normal 9 6 3 3" xfId="5728" xr:uid="{00000000-0005-0000-0000-00007A200000}"/>
    <cellStyle name="Normal 9 6 3 3 2" xfId="14170" xr:uid="{325A0D0F-AE2F-40F8-9D03-6477FF114B94}"/>
    <cellStyle name="Normal 9 6 3 4" xfId="9952" xr:uid="{2858DEC4-8760-48A2-BCB3-8E3E02AFE30E}"/>
    <cellStyle name="Normal 9 6 4" xfId="1833" xr:uid="{00000000-0005-0000-0000-00007B200000}"/>
    <cellStyle name="Normal 9 6 4 2" xfId="4063" xr:uid="{00000000-0005-0000-0000-00007C200000}"/>
    <cellStyle name="Normal 9 6 4 2 2" xfId="8286" xr:uid="{00000000-0005-0000-0000-00007D200000}"/>
    <cellStyle name="Normal 9 6 4 2 2 2" xfId="16728" xr:uid="{BEB134F6-72E2-4A40-9513-3328D6AA3C59}"/>
    <cellStyle name="Normal 9 6 4 2 3" xfId="12510" xr:uid="{C9D31290-B541-486A-BACE-E45CDA05E7B2}"/>
    <cellStyle name="Normal 9 6 4 3" xfId="6141" xr:uid="{00000000-0005-0000-0000-00007E200000}"/>
    <cellStyle name="Normal 9 6 4 3 2" xfId="14583" xr:uid="{5B342A9A-1165-42DC-9BB1-A441E5AD74E3}"/>
    <cellStyle name="Normal 9 6 4 4" xfId="10365" xr:uid="{23DF0D61-1A13-4F8A-B11D-D6F6C8E14448}"/>
    <cellStyle name="Normal 9 6 5" xfId="2247" xr:uid="{00000000-0005-0000-0000-00007F200000}"/>
    <cellStyle name="Normal 9 6 5 2" xfId="4476" xr:uid="{00000000-0005-0000-0000-000080200000}"/>
    <cellStyle name="Normal 9 6 5 2 2" xfId="8699" xr:uid="{00000000-0005-0000-0000-000081200000}"/>
    <cellStyle name="Normal 9 6 5 2 2 2" xfId="17141" xr:uid="{12E6281A-5BB6-400C-820E-1EFD50430298}"/>
    <cellStyle name="Normal 9 6 5 2 3" xfId="12923" xr:uid="{68EEB4DE-7B31-4318-BA35-C3FFBC49D081}"/>
    <cellStyle name="Normal 9 6 5 3" xfId="6554" xr:uid="{00000000-0005-0000-0000-000082200000}"/>
    <cellStyle name="Normal 9 6 5 3 2" xfId="14996" xr:uid="{2ACB2165-B623-498F-B5E1-8A79D234DBE9}"/>
    <cellStyle name="Normal 9 6 5 4" xfId="10778" xr:uid="{12B2DB53-F570-4EC6-86E8-54E8C29E800A}"/>
    <cellStyle name="Normal 9 6 6" xfId="2683" xr:uid="{00000000-0005-0000-0000-000083200000}"/>
    <cellStyle name="Normal 9 6 6 2" xfId="6967" xr:uid="{00000000-0005-0000-0000-000084200000}"/>
    <cellStyle name="Normal 9 6 6 2 2" xfId="15409" xr:uid="{398315FA-56F8-4A9E-AD09-146C199C961A}"/>
    <cellStyle name="Normal 9 6 6 3" xfId="11191" xr:uid="{E8481E3C-A127-4A88-8D90-BAD60FF25B7E}"/>
    <cellStyle name="Normal 9 6 7" xfId="4902" xr:uid="{00000000-0005-0000-0000-000085200000}"/>
    <cellStyle name="Normal 9 6 7 2" xfId="13344" xr:uid="{5B638708-1BA4-4D22-A6CA-4AA32AC9478B}"/>
    <cellStyle name="Normal 9 6 8" xfId="9126" xr:uid="{54F275E0-A0EF-48CE-B897-F89364519E6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39FD5912-8A05-4C02-982F-09D664DF401B}"/>
    <cellStyle name="Note 2 2 10 3" xfId="11272" xr:uid="{5E99BB7E-B672-4DE4-BD89-4EE9B99AEC55}"/>
    <cellStyle name="Note 2 2 11" xfId="4903" xr:uid="{00000000-0005-0000-0000-000094200000}"/>
    <cellStyle name="Note 2 2 11 2" xfId="13345" xr:uid="{A7D191D1-EDD6-4015-8D1E-BCDBFE77784C}"/>
    <cellStyle name="Note 2 2 12" xfId="9127" xr:uid="{BAB1FA87-6DA9-40A9-A7B4-B759590A3CE0}"/>
    <cellStyle name="Note 2 2 2" xfId="546" xr:uid="{00000000-0005-0000-0000-000095200000}"/>
    <cellStyle name="Note 2 2 2 10" xfId="4904" xr:uid="{00000000-0005-0000-0000-000096200000}"/>
    <cellStyle name="Note 2 2 2 10 2" xfId="13346" xr:uid="{C6CE7E4A-F48C-4C7C-8541-BEF1687F0BAB}"/>
    <cellStyle name="Note 2 2 2 11" xfId="9128" xr:uid="{1995B4DB-E32E-493E-B8BA-998840374A18}"/>
    <cellStyle name="Note 2 2 2 2" xfId="547" xr:uid="{00000000-0005-0000-0000-000097200000}"/>
    <cellStyle name="Note 2 2 2 2 10" xfId="9129" xr:uid="{0AD8AD92-423A-4423-A697-6B11E2CFAC3C}"/>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46D944D5-A16E-4F2B-A66D-B417725F0119}"/>
    <cellStyle name="Note 2 2 2 2 2 2 3" xfId="11687" xr:uid="{9E7C489A-9DE9-45E3-8CB5-2AB5E8601422}"/>
    <cellStyle name="Note 2 2 2 2 2 3" xfId="5318" xr:uid="{00000000-0005-0000-0000-00009B200000}"/>
    <cellStyle name="Note 2 2 2 2 2 3 2" xfId="13760" xr:uid="{4CC0DAA4-CED9-4799-ADEE-8FFF7C816AD9}"/>
    <cellStyle name="Note 2 2 2 2 2 4" xfId="9542" xr:uid="{8F3C5756-E6D9-492F-B035-5E25ED62C9FB}"/>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1741DE28-2EE4-4935-BDCF-C2D05B918D44}"/>
    <cellStyle name="Note 2 2 2 2 3 2 3" xfId="12100" xr:uid="{F1131F5D-55F1-4D4A-9838-871423A14974}"/>
    <cellStyle name="Note 2 2 2 2 3 3" xfId="5731" xr:uid="{00000000-0005-0000-0000-00009F200000}"/>
    <cellStyle name="Note 2 2 2 2 3 3 2" xfId="14173" xr:uid="{855DB030-0343-4521-AFB3-C750C46D299A}"/>
    <cellStyle name="Note 2 2 2 2 3 4" xfId="9955" xr:uid="{F3B3E79E-2975-4D14-9CF9-390424550F59}"/>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D1BC8A2C-4A48-4777-AF16-3060E149BDBC}"/>
    <cellStyle name="Note 2 2 2 2 4 2 3" xfId="12513" xr:uid="{0D44BE67-8223-4A10-A8CF-4B4E17011252}"/>
    <cellStyle name="Note 2 2 2 2 4 3" xfId="6144" xr:uid="{00000000-0005-0000-0000-0000A3200000}"/>
    <cellStyle name="Note 2 2 2 2 4 3 2" xfId="14586" xr:uid="{49FECA6F-E902-4E62-A505-B7DCE1FF7674}"/>
    <cellStyle name="Note 2 2 2 2 4 4" xfId="10368" xr:uid="{72E2BFE4-651A-44DD-A0AF-F2A20C9A578D}"/>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539633B7-F7F1-477B-B044-7A3EC0C68F3D}"/>
    <cellStyle name="Note 2 2 2 2 5 2 3" xfId="12926" xr:uid="{9FBDC546-B656-4087-B0CD-CE3B98E2C854}"/>
    <cellStyle name="Note 2 2 2 2 5 3" xfId="6557" xr:uid="{00000000-0005-0000-0000-0000A7200000}"/>
    <cellStyle name="Note 2 2 2 2 5 3 2" xfId="14999" xr:uid="{1C84EB8D-2949-46F5-995D-9D0E5051F3DA}"/>
    <cellStyle name="Note 2 2 2 2 5 4" xfId="10781" xr:uid="{DDD53D39-B6D7-4749-B64A-D7925B7CE2F0}"/>
    <cellStyle name="Note 2 2 2 2 6" xfId="2686" xr:uid="{00000000-0005-0000-0000-0000A8200000}"/>
    <cellStyle name="Note 2 2 2 2 6 2" xfId="6970" xr:uid="{00000000-0005-0000-0000-0000A9200000}"/>
    <cellStyle name="Note 2 2 2 2 6 2 2" xfId="15412" xr:uid="{7198277E-BCDE-4EA0-8B11-DC8E5C33F485}"/>
    <cellStyle name="Note 2 2 2 2 6 3" xfId="11194" xr:uid="{C90A6B87-0127-49EB-8BE3-43B0CA50C1A4}"/>
    <cellStyle name="Note 2 2 2 2 7" xfId="2745" xr:uid="{00000000-0005-0000-0000-0000AA200000}"/>
    <cellStyle name="Note 2 2 2 2 8" xfId="2826" xr:uid="{00000000-0005-0000-0000-0000AB200000}"/>
    <cellStyle name="Note 2 2 2 2 8 2" xfId="7050" xr:uid="{00000000-0005-0000-0000-0000AC200000}"/>
    <cellStyle name="Note 2 2 2 2 8 2 2" xfId="15492" xr:uid="{C35773B2-7904-45DC-B97F-A0E61CAF3945}"/>
    <cellStyle name="Note 2 2 2 2 8 3" xfId="11274" xr:uid="{1E066559-9E70-4E47-BEC8-068C87723B9B}"/>
    <cellStyle name="Note 2 2 2 2 9" xfId="4905" xr:uid="{00000000-0005-0000-0000-0000AD200000}"/>
    <cellStyle name="Note 2 2 2 2 9 2" xfId="13347" xr:uid="{BDDADE67-55DB-4D47-8C5F-CDE732D586BB}"/>
    <cellStyle name="Note 2 2 2 3" xfId="1007" xr:uid="{00000000-0005-0000-0000-0000AE200000}"/>
    <cellStyle name="Note 2 2 2 3 2" xfId="3239" xr:uid="{00000000-0005-0000-0000-0000AF200000}"/>
    <cellStyle name="Note 2 2 2 3 2 2" xfId="7462" xr:uid="{00000000-0005-0000-0000-0000B0200000}"/>
    <cellStyle name="Note 2 2 2 3 2 2 2" xfId="15904" xr:uid="{167F3480-F96B-421D-9ADB-CDFBD3D4F3B7}"/>
    <cellStyle name="Note 2 2 2 3 2 3" xfId="11686" xr:uid="{3DC4CF16-0943-46EE-86FD-7A3953EB09B4}"/>
    <cellStyle name="Note 2 2 2 3 3" xfId="5317" xr:uid="{00000000-0005-0000-0000-0000B1200000}"/>
    <cellStyle name="Note 2 2 2 3 3 2" xfId="13759" xr:uid="{5B3BA309-690C-4294-A9B4-513331019D3E}"/>
    <cellStyle name="Note 2 2 2 3 4" xfId="9541" xr:uid="{C0691DF4-F1F6-4B7A-B1C2-D8CF80D285B7}"/>
    <cellStyle name="Note 2 2 2 4" xfId="1422" xr:uid="{00000000-0005-0000-0000-0000B2200000}"/>
    <cellStyle name="Note 2 2 2 4 2" xfId="3652" xr:uid="{00000000-0005-0000-0000-0000B3200000}"/>
    <cellStyle name="Note 2 2 2 4 2 2" xfId="7875" xr:uid="{00000000-0005-0000-0000-0000B4200000}"/>
    <cellStyle name="Note 2 2 2 4 2 2 2" xfId="16317" xr:uid="{8B7CF5D7-64B7-4D01-9217-0DD7650DE00C}"/>
    <cellStyle name="Note 2 2 2 4 2 3" xfId="12099" xr:uid="{9C58B553-5482-4C81-ACFF-238E7A16E7A0}"/>
    <cellStyle name="Note 2 2 2 4 3" xfId="5730" xr:uid="{00000000-0005-0000-0000-0000B5200000}"/>
    <cellStyle name="Note 2 2 2 4 3 2" xfId="14172" xr:uid="{59A53F5F-2AF7-424D-8816-7BDD3A308CD9}"/>
    <cellStyle name="Note 2 2 2 4 4" xfId="9954" xr:uid="{BBCD04D7-920E-4C13-BD6E-6430951F1B6D}"/>
    <cellStyle name="Note 2 2 2 5" xfId="1836" xr:uid="{00000000-0005-0000-0000-0000B6200000}"/>
    <cellStyle name="Note 2 2 2 5 2" xfId="4065" xr:uid="{00000000-0005-0000-0000-0000B7200000}"/>
    <cellStyle name="Note 2 2 2 5 2 2" xfId="8288" xr:uid="{00000000-0005-0000-0000-0000B8200000}"/>
    <cellStyle name="Note 2 2 2 5 2 2 2" xfId="16730" xr:uid="{F92FF128-6EB6-4D39-AEE7-915F1BA5679C}"/>
    <cellStyle name="Note 2 2 2 5 2 3" xfId="12512" xr:uid="{096CDE6A-A4B5-4271-B7A8-F667ADDCFF6C}"/>
    <cellStyle name="Note 2 2 2 5 3" xfId="6143" xr:uid="{00000000-0005-0000-0000-0000B9200000}"/>
    <cellStyle name="Note 2 2 2 5 3 2" xfId="14585" xr:uid="{FCCCB707-0B4D-4CCE-B705-408FB1834122}"/>
    <cellStyle name="Note 2 2 2 5 4" xfId="10367" xr:uid="{5DC24542-DFB1-4690-9DEC-0C314DBFBDA7}"/>
    <cellStyle name="Note 2 2 2 6" xfId="2249" xr:uid="{00000000-0005-0000-0000-0000BA200000}"/>
    <cellStyle name="Note 2 2 2 6 2" xfId="4478" xr:uid="{00000000-0005-0000-0000-0000BB200000}"/>
    <cellStyle name="Note 2 2 2 6 2 2" xfId="8701" xr:uid="{00000000-0005-0000-0000-0000BC200000}"/>
    <cellStyle name="Note 2 2 2 6 2 2 2" xfId="17143" xr:uid="{E6C3B3CE-2D7D-408F-A44A-32D68988C9C9}"/>
    <cellStyle name="Note 2 2 2 6 2 3" xfId="12925" xr:uid="{236EACC8-5C42-4C79-8A0E-A3B4DB849B84}"/>
    <cellStyle name="Note 2 2 2 6 3" xfId="6556" xr:uid="{00000000-0005-0000-0000-0000BD200000}"/>
    <cellStyle name="Note 2 2 2 6 3 2" xfId="14998" xr:uid="{09CC3506-7E3E-4D98-BD6E-D051C8F224D3}"/>
    <cellStyle name="Note 2 2 2 6 4" xfId="10780" xr:uid="{592773A4-296C-43BD-BD63-6A54530A1297}"/>
    <cellStyle name="Note 2 2 2 7" xfId="2685" xr:uid="{00000000-0005-0000-0000-0000BE200000}"/>
    <cellStyle name="Note 2 2 2 7 2" xfId="6969" xr:uid="{00000000-0005-0000-0000-0000BF200000}"/>
    <cellStyle name="Note 2 2 2 7 2 2" xfId="15411" xr:uid="{A3AC0964-F6C2-4729-A616-E1FB9AA905ED}"/>
    <cellStyle name="Note 2 2 2 7 3" xfId="11193" xr:uid="{2878ECBE-F45E-41C7-8CFB-02A8B5D5852D}"/>
    <cellStyle name="Note 2 2 2 8" xfId="2744" xr:uid="{00000000-0005-0000-0000-0000C0200000}"/>
    <cellStyle name="Note 2 2 2 9" xfId="2825" xr:uid="{00000000-0005-0000-0000-0000C1200000}"/>
    <cellStyle name="Note 2 2 2 9 2" xfId="7049" xr:uid="{00000000-0005-0000-0000-0000C2200000}"/>
    <cellStyle name="Note 2 2 2 9 2 2" xfId="15491" xr:uid="{893E1433-591A-43AA-BAE7-B25D28BDB29C}"/>
    <cellStyle name="Note 2 2 2 9 3" xfId="11273" xr:uid="{C8A25E1D-DE58-4822-930E-7754E5C2E47E}"/>
    <cellStyle name="Note 2 2 3" xfId="548" xr:uid="{00000000-0005-0000-0000-0000C3200000}"/>
    <cellStyle name="Note 2 2 3 10" xfId="9130" xr:uid="{4A6B46D8-68AA-43BE-BA20-D1B807D76DE6}"/>
    <cellStyle name="Note 2 2 3 2" xfId="1009" xr:uid="{00000000-0005-0000-0000-0000C4200000}"/>
    <cellStyle name="Note 2 2 3 2 2" xfId="3241" xr:uid="{00000000-0005-0000-0000-0000C5200000}"/>
    <cellStyle name="Note 2 2 3 2 2 2" xfId="7464" xr:uid="{00000000-0005-0000-0000-0000C6200000}"/>
    <cellStyle name="Note 2 2 3 2 2 2 2" xfId="15906" xr:uid="{9A2108F2-B350-4031-8780-C738882C8A6E}"/>
    <cellStyle name="Note 2 2 3 2 2 3" xfId="11688" xr:uid="{DD5E01AE-6E8C-4107-A078-AF354EC519BF}"/>
    <cellStyle name="Note 2 2 3 2 3" xfId="5319" xr:uid="{00000000-0005-0000-0000-0000C7200000}"/>
    <cellStyle name="Note 2 2 3 2 3 2" xfId="13761" xr:uid="{EA81E917-44BC-487C-AE2C-2D08A87EB771}"/>
    <cellStyle name="Note 2 2 3 2 4" xfId="9543" xr:uid="{05C736CD-06FE-4D86-BF3E-4C52853F6584}"/>
    <cellStyle name="Note 2 2 3 3" xfId="1424" xr:uid="{00000000-0005-0000-0000-0000C8200000}"/>
    <cellStyle name="Note 2 2 3 3 2" xfId="3654" xr:uid="{00000000-0005-0000-0000-0000C9200000}"/>
    <cellStyle name="Note 2 2 3 3 2 2" xfId="7877" xr:uid="{00000000-0005-0000-0000-0000CA200000}"/>
    <cellStyle name="Note 2 2 3 3 2 2 2" xfId="16319" xr:uid="{D5128FF4-C7DE-43F1-B473-2AF63B21073B}"/>
    <cellStyle name="Note 2 2 3 3 2 3" xfId="12101" xr:uid="{CB6D26F8-43E6-4392-A939-AA13AF529322}"/>
    <cellStyle name="Note 2 2 3 3 3" xfId="5732" xr:uid="{00000000-0005-0000-0000-0000CB200000}"/>
    <cellStyle name="Note 2 2 3 3 3 2" xfId="14174" xr:uid="{AD00CF24-F0A2-42FD-8A5B-9CE8F8B65CC1}"/>
    <cellStyle name="Note 2 2 3 3 4" xfId="9956" xr:uid="{5D6FD092-76DA-4F7A-9B89-CEDF5B94A143}"/>
    <cellStyle name="Note 2 2 3 4" xfId="1838" xr:uid="{00000000-0005-0000-0000-0000CC200000}"/>
    <cellStyle name="Note 2 2 3 4 2" xfId="4067" xr:uid="{00000000-0005-0000-0000-0000CD200000}"/>
    <cellStyle name="Note 2 2 3 4 2 2" xfId="8290" xr:uid="{00000000-0005-0000-0000-0000CE200000}"/>
    <cellStyle name="Note 2 2 3 4 2 2 2" xfId="16732" xr:uid="{B9F3F02A-E611-4A43-85C0-F92BB0907585}"/>
    <cellStyle name="Note 2 2 3 4 2 3" xfId="12514" xr:uid="{037CCC1E-7D6A-401E-BE56-69A73F27967B}"/>
    <cellStyle name="Note 2 2 3 4 3" xfId="6145" xr:uid="{00000000-0005-0000-0000-0000CF200000}"/>
    <cellStyle name="Note 2 2 3 4 3 2" xfId="14587" xr:uid="{5D28E368-ACE5-48B8-899D-B05ABD14B206}"/>
    <cellStyle name="Note 2 2 3 4 4" xfId="10369" xr:uid="{64BB392E-624B-479A-AEBC-AFF19E9626EE}"/>
    <cellStyle name="Note 2 2 3 5" xfId="2251" xr:uid="{00000000-0005-0000-0000-0000D0200000}"/>
    <cellStyle name="Note 2 2 3 5 2" xfId="4480" xr:uid="{00000000-0005-0000-0000-0000D1200000}"/>
    <cellStyle name="Note 2 2 3 5 2 2" xfId="8703" xr:uid="{00000000-0005-0000-0000-0000D2200000}"/>
    <cellStyle name="Note 2 2 3 5 2 2 2" xfId="17145" xr:uid="{AA0E0AF5-2F5F-4A52-9112-EC983A3D4D8C}"/>
    <cellStyle name="Note 2 2 3 5 2 3" xfId="12927" xr:uid="{78FD369E-7C3E-4B8F-BA11-55294BEFF903}"/>
    <cellStyle name="Note 2 2 3 5 3" xfId="6558" xr:uid="{00000000-0005-0000-0000-0000D3200000}"/>
    <cellStyle name="Note 2 2 3 5 3 2" xfId="15000" xr:uid="{0C4A9864-04F6-4C5A-99D3-0AD53EFA89B3}"/>
    <cellStyle name="Note 2 2 3 5 4" xfId="10782" xr:uid="{C040FB02-45F9-405D-A706-FC2A2AF62CEF}"/>
    <cellStyle name="Note 2 2 3 6" xfId="2687" xr:uid="{00000000-0005-0000-0000-0000D4200000}"/>
    <cellStyle name="Note 2 2 3 6 2" xfId="6971" xr:uid="{00000000-0005-0000-0000-0000D5200000}"/>
    <cellStyle name="Note 2 2 3 6 2 2" xfId="15413" xr:uid="{52EC9993-25AD-48C6-BEA2-9F79F93312F3}"/>
    <cellStyle name="Note 2 2 3 6 3" xfId="11195" xr:uid="{03BEC39A-8EEC-4F85-8531-63287F2DAB05}"/>
    <cellStyle name="Note 2 2 3 7" xfId="2746" xr:uid="{00000000-0005-0000-0000-0000D6200000}"/>
    <cellStyle name="Note 2 2 3 8" xfId="2827" xr:uid="{00000000-0005-0000-0000-0000D7200000}"/>
    <cellStyle name="Note 2 2 3 8 2" xfId="7051" xr:uid="{00000000-0005-0000-0000-0000D8200000}"/>
    <cellStyle name="Note 2 2 3 8 2 2" xfId="15493" xr:uid="{B5CA1143-7AA6-4B75-B2CA-EC019D383BF3}"/>
    <cellStyle name="Note 2 2 3 8 3" xfId="11275" xr:uid="{AC42D5AB-D2AA-4C65-B69C-224F7A147091}"/>
    <cellStyle name="Note 2 2 3 9" xfId="4906" xr:uid="{00000000-0005-0000-0000-0000D9200000}"/>
    <cellStyle name="Note 2 2 3 9 2" xfId="13348" xr:uid="{CD8F4F1F-90D6-492B-9619-18CC762BE3FD}"/>
    <cellStyle name="Note 2 2 4" xfId="1006" xr:uid="{00000000-0005-0000-0000-0000DA200000}"/>
    <cellStyle name="Note 2 2 4 2" xfId="3238" xr:uid="{00000000-0005-0000-0000-0000DB200000}"/>
    <cellStyle name="Note 2 2 4 2 2" xfId="7461" xr:uid="{00000000-0005-0000-0000-0000DC200000}"/>
    <cellStyle name="Note 2 2 4 2 2 2" xfId="15903" xr:uid="{F3CAFD77-560C-4908-A077-601DCFEE5B43}"/>
    <cellStyle name="Note 2 2 4 2 3" xfId="11685" xr:uid="{845F5528-037B-47F9-8D79-E3361EFEA177}"/>
    <cellStyle name="Note 2 2 4 3" xfId="5316" xr:uid="{00000000-0005-0000-0000-0000DD200000}"/>
    <cellStyle name="Note 2 2 4 3 2" xfId="13758" xr:uid="{3A5BD04A-3BD6-4C66-8560-6E246BED6036}"/>
    <cellStyle name="Note 2 2 4 4" xfId="9540" xr:uid="{06070C2D-B16C-4449-B59A-0F3C7905BB31}"/>
    <cellStyle name="Note 2 2 5" xfId="1421" xr:uid="{00000000-0005-0000-0000-0000DE200000}"/>
    <cellStyle name="Note 2 2 5 2" xfId="3651" xr:uid="{00000000-0005-0000-0000-0000DF200000}"/>
    <cellStyle name="Note 2 2 5 2 2" xfId="7874" xr:uid="{00000000-0005-0000-0000-0000E0200000}"/>
    <cellStyle name="Note 2 2 5 2 2 2" xfId="16316" xr:uid="{7F09DAE8-CF89-43EF-AF5E-54B178AB227B}"/>
    <cellStyle name="Note 2 2 5 2 3" xfId="12098" xr:uid="{C1103F38-94B6-498B-B4E2-7CA8FA84EDF4}"/>
    <cellStyle name="Note 2 2 5 3" xfId="5729" xr:uid="{00000000-0005-0000-0000-0000E1200000}"/>
    <cellStyle name="Note 2 2 5 3 2" xfId="14171" xr:uid="{45A6BBFC-CC65-4BBA-B6EA-80EDD2271CC7}"/>
    <cellStyle name="Note 2 2 5 4" xfId="9953" xr:uid="{9E8407FF-9860-4E01-8784-1A3FBBBF070A}"/>
    <cellStyle name="Note 2 2 6" xfId="1835" xr:uid="{00000000-0005-0000-0000-0000E2200000}"/>
    <cellStyle name="Note 2 2 6 2" xfId="4064" xr:uid="{00000000-0005-0000-0000-0000E3200000}"/>
    <cellStyle name="Note 2 2 6 2 2" xfId="8287" xr:uid="{00000000-0005-0000-0000-0000E4200000}"/>
    <cellStyle name="Note 2 2 6 2 2 2" xfId="16729" xr:uid="{88A41DC3-7CC8-439A-A94B-3D64223CDDAD}"/>
    <cellStyle name="Note 2 2 6 2 3" xfId="12511" xr:uid="{ED5C9015-60E6-401F-96AC-FF176404D4FF}"/>
    <cellStyle name="Note 2 2 6 3" xfId="6142" xr:uid="{00000000-0005-0000-0000-0000E5200000}"/>
    <cellStyle name="Note 2 2 6 3 2" xfId="14584" xr:uid="{A61D0D79-E040-4129-BB46-F9F6C7A1C382}"/>
    <cellStyle name="Note 2 2 6 4" xfId="10366" xr:uid="{8FC0ED5A-78A7-44C9-9BB7-85AECEC694C7}"/>
    <cellStyle name="Note 2 2 7" xfId="2248" xr:uid="{00000000-0005-0000-0000-0000E6200000}"/>
    <cellStyle name="Note 2 2 7 2" xfId="4477" xr:uid="{00000000-0005-0000-0000-0000E7200000}"/>
    <cellStyle name="Note 2 2 7 2 2" xfId="8700" xr:uid="{00000000-0005-0000-0000-0000E8200000}"/>
    <cellStyle name="Note 2 2 7 2 2 2" xfId="17142" xr:uid="{89CDFA62-9B5B-4A87-8E14-7C01AE7BE540}"/>
    <cellStyle name="Note 2 2 7 2 3" xfId="12924" xr:uid="{345B15C5-80C4-473C-83FF-86E0A686CCF8}"/>
    <cellStyle name="Note 2 2 7 3" xfId="6555" xr:uid="{00000000-0005-0000-0000-0000E9200000}"/>
    <cellStyle name="Note 2 2 7 3 2" xfId="14997" xr:uid="{391C2AB4-8524-4C84-BF92-135423825745}"/>
    <cellStyle name="Note 2 2 7 4" xfId="10779" xr:uid="{240AC68C-EF26-4012-A6AD-7800A7975CDD}"/>
    <cellStyle name="Note 2 2 8" xfId="2684" xr:uid="{00000000-0005-0000-0000-0000EA200000}"/>
    <cellStyle name="Note 2 2 8 2" xfId="6968" xr:uid="{00000000-0005-0000-0000-0000EB200000}"/>
    <cellStyle name="Note 2 2 8 2 2" xfId="15410" xr:uid="{4D0B3A83-BF2A-49CB-9C01-9E295836E5BC}"/>
    <cellStyle name="Note 2 2 8 3" xfId="11192" xr:uid="{C52F7085-0352-4737-95D2-4D579FA825A7}"/>
    <cellStyle name="Note 2 2 9" xfId="2743" xr:uid="{00000000-0005-0000-0000-0000EC200000}"/>
    <cellStyle name="Note 2 3" xfId="549" xr:uid="{00000000-0005-0000-0000-0000ED200000}"/>
    <cellStyle name="Note 2 3 10" xfId="4907" xr:uid="{00000000-0005-0000-0000-0000EE200000}"/>
    <cellStyle name="Note 2 3 10 2" xfId="13349" xr:uid="{33D85632-5AE9-4082-A8D0-4FF68670ECB2}"/>
    <cellStyle name="Note 2 3 11" xfId="9131" xr:uid="{04050D2E-BB71-409F-82F4-72F3D7C5F1A0}"/>
    <cellStyle name="Note 2 3 2" xfId="550" xr:uid="{00000000-0005-0000-0000-0000EF200000}"/>
    <cellStyle name="Note 2 3 2 10" xfId="9132" xr:uid="{FC4602DB-B48D-4017-9956-B191B41E5825}"/>
    <cellStyle name="Note 2 3 2 2" xfId="1011" xr:uid="{00000000-0005-0000-0000-0000F0200000}"/>
    <cellStyle name="Note 2 3 2 2 2" xfId="3243" xr:uid="{00000000-0005-0000-0000-0000F1200000}"/>
    <cellStyle name="Note 2 3 2 2 2 2" xfId="7466" xr:uid="{00000000-0005-0000-0000-0000F2200000}"/>
    <cellStyle name="Note 2 3 2 2 2 2 2" xfId="15908" xr:uid="{078B26ED-AAE0-41F3-820F-E5E13A4AAEA9}"/>
    <cellStyle name="Note 2 3 2 2 2 3" xfId="11690" xr:uid="{C9D850AA-2B95-4E79-B999-DACC03886B64}"/>
    <cellStyle name="Note 2 3 2 2 3" xfId="5321" xr:uid="{00000000-0005-0000-0000-0000F3200000}"/>
    <cellStyle name="Note 2 3 2 2 3 2" xfId="13763" xr:uid="{99F7373F-F98A-4BB1-BD81-A47ABF82D834}"/>
    <cellStyle name="Note 2 3 2 2 4" xfId="9545" xr:uid="{43DCD994-6B53-4312-9C49-E9EB954E87AE}"/>
    <cellStyle name="Note 2 3 2 3" xfId="1426" xr:uid="{00000000-0005-0000-0000-0000F4200000}"/>
    <cellStyle name="Note 2 3 2 3 2" xfId="3656" xr:uid="{00000000-0005-0000-0000-0000F5200000}"/>
    <cellStyle name="Note 2 3 2 3 2 2" xfId="7879" xr:uid="{00000000-0005-0000-0000-0000F6200000}"/>
    <cellStyle name="Note 2 3 2 3 2 2 2" xfId="16321" xr:uid="{9E68921C-5CAC-45B1-A0B6-6AA6586ED951}"/>
    <cellStyle name="Note 2 3 2 3 2 3" xfId="12103" xr:uid="{DB5C51A8-3582-40C5-9F0E-17D49B01D108}"/>
    <cellStyle name="Note 2 3 2 3 3" xfId="5734" xr:uid="{00000000-0005-0000-0000-0000F7200000}"/>
    <cellStyle name="Note 2 3 2 3 3 2" xfId="14176" xr:uid="{8489E41D-33DC-4D76-B415-023D9CDECB31}"/>
    <cellStyle name="Note 2 3 2 3 4" xfId="9958" xr:uid="{1D93CD6E-33B9-4F80-8287-F99AFFB81BA4}"/>
    <cellStyle name="Note 2 3 2 4" xfId="1840" xr:uid="{00000000-0005-0000-0000-0000F8200000}"/>
    <cellStyle name="Note 2 3 2 4 2" xfId="4069" xr:uid="{00000000-0005-0000-0000-0000F9200000}"/>
    <cellStyle name="Note 2 3 2 4 2 2" xfId="8292" xr:uid="{00000000-0005-0000-0000-0000FA200000}"/>
    <cellStyle name="Note 2 3 2 4 2 2 2" xfId="16734" xr:uid="{46569E3E-CD85-4364-AE46-89381DF28DE4}"/>
    <cellStyle name="Note 2 3 2 4 2 3" xfId="12516" xr:uid="{63F76009-AB55-40CC-9C24-79006BCFD1FF}"/>
    <cellStyle name="Note 2 3 2 4 3" xfId="6147" xr:uid="{00000000-0005-0000-0000-0000FB200000}"/>
    <cellStyle name="Note 2 3 2 4 3 2" xfId="14589" xr:uid="{E4253F00-9A73-43A3-A74A-4373808C4637}"/>
    <cellStyle name="Note 2 3 2 4 4" xfId="10371" xr:uid="{9A120C51-0AE4-4EF2-9F34-0572C2E52B71}"/>
    <cellStyle name="Note 2 3 2 5" xfId="2253" xr:uid="{00000000-0005-0000-0000-0000FC200000}"/>
    <cellStyle name="Note 2 3 2 5 2" xfId="4482" xr:uid="{00000000-0005-0000-0000-0000FD200000}"/>
    <cellStyle name="Note 2 3 2 5 2 2" xfId="8705" xr:uid="{00000000-0005-0000-0000-0000FE200000}"/>
    <cellStyle name="Note 2 3 2 5 2 2 2" xfId="17147" xr:uid="{F313BFC4-078B-4BC2-A5AA-E4DDA9B4630F}"/>
    <cellStyle name="Note 2 3 2 5 2 3" xfId="12929" xr:uid="{948CA4C2-F312-4FD6-8908-97F7BBA7A6A9}"/>
    <cellStyle name="Note 2 3 2 5 3" xfId="6560" xr:uid="{00000000-0005-0000-0000-0000FF200000}"/>
    <cellStyle name="Note 2 3 2 5 3 2" xfId="15002" xr:uid="{297F1EA1-BB1C-4186-A91C-CC9BC0E6E635}"/>
    <cellStyle name="Note 2 3 2 5 4" xfId="10784" xr:uid="{134AA0BA-8802-4602-8647-9E3C4A721A27}"/>
    <cellStyle name="Note 2 3 2 6" xfId="2689" xr:uid="{00000000-0005-0000-0000-000000210000}"/>
    <cellStyle name="Note 2 3 2 6 2" xfId="6973" xr:uid="{00000000-0005-0000-0000-000001210000}"/>
    <cellStyle name="Note 2 3 2 6 2 2" xfId="15415" xr:uid="{DA534578-A27E-4645-954A-D872CD4A5E24}"/>
    <cellStyle name="Note 2 3 2 6 3" xfId="11197" xr:uid="{8C2FEA1D-6CCC-44B9-B0E8-AA1A567671B7}"/>
    <cellStyle name="Note 2 3 2 7" xfId="2748" xr:uid="{00000000-0005-0000-0000-000002210000}"/>
    <cellStyle name="Note 2 3 2 8" xfId="2829" xr:uid="{00000000-0005-0000-0000-000003210000}"/>
    <cellStyle name="Note 2 3 2 8 2" xfId="7053" xr:uid="{00000000-0005-0000-0000-000004210000}"/>
    <cellStyle name="Note 2 3 2 8 2 2" xfId="15495" xr:uid="{878A9F75-3F49-43BD-A251-D567AD87CE67}"/>
    <cellStyle name="Note 2 3 2 8 3" xfId="11277" xr:uid="{CBE010F9-ABB9-4178-9B95-2CEE05CBA10C}"/>
    <cellStyle name="Note 2 3 2 9" xfId="4908" xr:uid="{00000000-0005-0000-0000-000005210000}"/>
    <cellStyle name="Note 2 3 2 9 2" xfId="13350" xr:uid="{E2C52698-B6B1-43E6-8725-7302AB73CB6A}"/>
    <cellStyle name="Note 2 3 3" xfId="1010" xr:uid="{00000000-0005-0000-0000-000006210000}"/>
    <cellStyle name="Note 2 3 3 2" xfId="3242" xr:uid="{00000000-0005-0000-0000-000007210000}"/>
    <cellStyle name="Note 2 3 3 2 2" xfId="7465" xr:uid="{00000000-0005-0000-0000-000008210000}"/>
    <cellStyle name="Note 2 3 3 2 2 2" xfId="15907" xr:uid="{9CDBB024-41F1-449B-BE8C-4339FFC16C38}"/>
    <cellStyle name="Note 2 3 3 2 3" xfId="11689" xr:uid="{C3E12D5F-F906-4C7B-A137-B0F5BE06BB3E}"/>
    <cellStyle name="Note 2 3 3 3" xfId="5320" xr:uid="{00000000-0005-0000-0000-000009210000}"/>
    <cellStyle name="Note 2 3 3 3 2" xfId="13762" xr:uid="{0CBE4D19-36B0-4AF8-8EF2-C585BA4B4B3D}"/>
    <cellStyle name="Note 2 3 3 4" xfId="9544" xr:uid="{2499D2F1-B198-4B8E-BD9C-0818987C712E}"/>
    <cellStyle name="Note 2 3 4" xfId="1425" xr:uid="{00000000-0005-0000-0000-00000A210000}"/>
    <cellStyle name="Note 2 3 4 2" xfId="3655" xr:uid="{00000000-0005-0000-0000-00000B210000}"/>
    <cellStyle name="Note 2 3 4 2 2" xfId="7878" xr:uid="{00000000-0005-0000-0000-00000C210000}"/>
    <cellStyle name="Note 2 3 4 2 2 2" xfId="16320" xr:uid="{1F5F4033-BC0E-49FD-8D33-02F23D198626}"/>
    <cellStyle name="Note 2 3 4 2 3" xfId="12102" xr:uid="{6977B031-1C0F-4C1B-9D55-FF4C4B94E80F}"/>
    <cellStyle name="Note 2 3 4 3" xfId="5733" xr:uid="{00000000-0005-0000-0000-00000D210000}"/>
    <cellStyle name="Note 2 3 4 3 2" xfId="14175" xr:uid="{95218BBB-F730-4B70-B082-4DF2BE1DB4E2}"/>
    <cellStyle name="Note 2 3 4 4" xfId="9957" xr:uid="{B15F4AEA-5542-40E4-B1B4-D991DD58E8E9}"/>
    <cellStyle name="Note 2 3 5" xfId="1839" xr:uid="{00000000-0005-0000-0000-00000E210000}"/>
    <cellStyle name="Note 2 3 5 2" xfId="4068" xr:uid="{00000000-0005-0000-0000-00000F210000}"/>
    <cellStyle name="Note 2 3 5 2 2" xfId="8291" xr:uid="{00000000-0005-0000-0000-000010210000}"/>
    <cellStyle name="Note 2 3 5 2 2 2" xfId="16733" xr:uid="{8CA77B89-D212-4217-BC53-1C20F15BF671}"/>
    <cellStyle name="Note 2 3 5 2 3" xfId="12515" xr:uid="{74522902-1B4A-493C-99E8-11A9FE9188A0}"/>
    <cellStyle name="Note 2 3 5 3" xfId="6146" xr:uid="{00000000-0005-0000-0000-000011210000}"/>
    <cellStyle name="Note 2 3 5 3 2" xfId="14588" xr:uid="{8EF48FC0-C9AA-486B-A5B2-478821269A8A}"/>
    <cellStyle name="Note 2 3 5 4" xfId="10370" xr:uid="{94FA5755-1FC5-489B-8EDD-FAEDC3589D62}"/>
    <cellStyle name="Note 2 3 6" xfId="2252" xr:uid="{00000000-0005-0000-0000-000012210000}"/>
    <cellStyle name="Note 2 3 6 2" xfId="4481" xr:uid="{00000000-0005-0000-0000-000013210000}"/>
    <cellStyle name="Note 2 3 6 2 2" xfId="8704" xr:uid="{00000000-0005-0000-0000-000014210000}"/>
    <cellStyle name="Note 2 3 6 2 2 2" xfId="17146" xr:uid="{C75162A4-0D99-4925-9409-9F8AFC448DFD}"/>
    <cellStyle name="Note 2 3 6 2 3" xfId="12928" xr:uid="{B4A6E438-784A-461F-A58F-B1E1C5321393}"/>
    <cellStyle name="Note 2 3 6 3" xfId="6559" xr:uid="{00000000-0005-0000-0000-000015210000}"/>
    <cellStyle name="Note 2 3 6 3 2" xfId="15001" xr:uid="{10069CC1-6731-48DC-A811-4887D8DCFB01}"/>
    <cellStyle name="Note 2 3 6 4" xfId="10783" xr:uid="{1CDAB52A-5ADE-4BC5-87AD-9B6B6C6F10F6}"/>
    <cellStyle name="Note 2 3 7" xfId="2688" xr:uid="{00000000-0005-0000-0000-000016210000}"/>
    <cellStyle name="Note 2 3 7 2" xfId="6972" xr:uid="{00000000-0005-0000-0000-000017210000}"/>
    <cellStyle name="Note 2 3 7 2 2" xfId="15414" xr:uid="{B868CD55-4336-4598-93A9-ACC6BACA187E}"/>
    <cellStyle name="Note 2 3 7 3" xfId="11196" xr:uid="{73B9A133-CA9E-4918-8354-27B58F8743B8}"/>
    <cellStyle name="Note 2 3 8" xfId="2747" xr:uid="{00000000-0005-0000-0000-000018210000}"/>
    <cellStyle name="Note 2 3 9" xfId="2828" xr:uid="{00000000-0005-0000-0000-000019210000}"/>
    <cellStyle name="Note 2 3 9 2" xfId="7052" xr:uid="{00000000-0005-0000-0000-00001A210000}"/>
    <cellStyle name="Note 2 3 9 2 2" xfId="15494" xr:uid="{F6AC6811-094D-43FC-9303-4D409AD34977}"/>
    <cellStyle name="Note 2 3 9 3" xfId="11276" xr:uid="{C8824216-2401-4656-B16A-7F0041B0E344}"/>
    <cellStyle name="Note 2 4" xfId="551" xr:uid="{00000000-0005-0000-0000-00001B210000}"/>
    <cellStyle name="Note 2 4 10" xfId="9133" xr:uid="{64EF01ED-115C-4271-BF93-BE18D18C3637}"/>
    <cellStyle name="Note 2 4 2" xfId="1012" xr:uid="{00000000-0005-0000-0000-00001C210000}"/>
    <cellStyle name="Note 2 4 2 2" xfId="3244" xr:uid="{00000000-0005-0000-0000-00001D210000}"/>
    <cellStyle name="Note 2 4 2 2 2" xfId="7467" xr:uid="{00000000-0005-0000-0000-00001E210000}"/>
    <cellStyle name="Note 2 4 2 2 2 2" xfId="15909" xr:uid="{76355608-E519-4764-B323-4541F759E987}"/>
    <cellStyle name="Note 2 4 2 2 3" xfId="11691" xr:uid="{07F1104D-B09F-4D40-95A1-0012259CC796}"/>
    <cellStyle name="Note 2 4 2 3" xfId="5322" xr:uid="{00000000-0005-0000-0000-00001F210000}"/>
    <cellStyle name="Note 2 4 2 3 2" xfId="13764" xr:uid="{8D2F2E25-2EFC-4214-9851-A684639439D3}"/>
    <cellStyle name="Note 2 4 2 4" xfId="9546" xr:uid="{73F86C5A-219B-4558-BAAB-1D770E166DC2}"/>
    <cellStyle name="Note 2 4 3" xfId="1427" xr:uid="{00000000-0005-0000-0000-000020210000}"/>
    <cellStyle name="Note 2 4 3 2" xfId="3657" xr:uid="{00000000-0005-0000-0000-000021210000}"/>
    <cellStyle name="Note 2 4 3 2 2" xfId="7880" xr:uid="{00000000-0005-0000-0000-000022210000}"/>
    <cellStyle name="Note 2 4 3 2 2 2" xfId="16322" xr:uid="{0918C838-6EC6-47A9-B63C-7063781ED1AB}"/>
    <cellStyle name="Note 2 4 3 2 3" xfId="12104" xr:uid="{383CDD01-7CFB-4ACC-A57F-D43CB02F7B01}"/>
    <cellStyle name="Note 2 4 3 3" xfId="5735" xr:uid="{00000000-0005-0000-0000-000023210000}"/>
    <cellStyle name="Note 2 4 3 3 2" xfId="14177" xr:uid="{9556F75B-9D53-4E14-BF97-D7476D235B59}"/>
    <cellStyle name="Note 2 4 3 4" xfId="9959" xr:uid="{526C94E5-81AD-470A-94F7-8CF6D3909A3E}"/>
    <cellStyle name="Note 2 4 4" xfId="1841" xr:uid="{00000000-0005-0000-0000-000024210000}"/>
    <cellStyle name="Note 2 4 4 2" xfId="4070" xr:uid="{00000000-0005-0000-0000-000025210000}"/>
    <cellStyle name="Note 2 4 4 2 2" xfId="8293" xr:uid="{00000000-0005-0000-0000-000026210000}"/>
    <cellStyle name="Note 2 4 4 2 2 2" xfId="16735" xr:uid="{0531AB1E-E0DF-4A04-A1FC-FF8AAE13E1F7}"/>
    <cellStyle name="Note 2 4 4 2 3" xfId="12517" xr:uid="{6A667E88-7859-4FDA-8006-0316395131D8}"/>
    <cellStyle name="Note 2 4 4 3" xfId="6148" xr:uid="{00000000-0005-0000-0000-000027210000}"/>
    <cellStyle name="Note 2 4 4 3 2" xfId="14590" xr:uid="{4F6319E8-0B4A-4865-B207-79C430DF5D30}"/>
    <cellStyle name="Note 2 4 4 4" xfId="10372" xr:uid="{BBEA2C5F-1C43-4D72-A64C-E6C864C19692}"/>
    <cellStyle name="Note 2 4 5" xfId="2254" xr:uid="{00000000-0005-0000-0000-000028210000}"/>
    <cellStyle name="Note 2 4 5 2" xfId="4483" xr:uid="{00000000-0005-0000-0000-000029210000}"/>
    <cellStyle name="Note 2 4 5 2 2" xfId="8706" xr:uid="{00000000-0005-0000-0000-00002A210000}"/>
    <cellStyle name="Note 2 4 5 2 2 2" xfId="17148" xr:uid="{18C3F47B-10C4-4492-991B-97F2D530645B}"/>
    <cellStyle name="Note 2 4 5 2 3" xfId="12930" xr:uid="{B2891C57-52AC-47CF-973A-DE901144B928}"/>
    <cellStyle name="Note 2 4 5 3" xfId="6561" xr:uid="{00000000-0005-0000-0000-00002B210000}"/>
    <cellStyle name="Note 2 4 5 3 2" xfId="15003" xr:uid="{C6CFA517-7B90-463F-A063-D91179B5ACBA}"/>
    <cellStyle name="Note 2 4 5 4" xfId="10785" xr:uid="{FC651F8F-8617-4C2A-A9F0-8E505AE114D9}"/>
    <cellStyle name="Note 2 4 6" xfId="2690" xr:uid="{00000000-0005-0000-0000-00002C210000}"/>
    <cellStyle name="Note 2 4 6 2" xfId="6974" xr:uid="{00000000-0005-0000-0000-00002D210000}"/>
    <cellStyle name="Note 2 4 6 2 2" xfId="15416" xr:uid="{C4C49C21-55AB-4C2C-97D1-F77CA32C8EBF}"/>
    <cellStyle name="Note 2 4 6 3" xfId="11198" xr:uid="{4A70B7E0-D0CE-41C2-9072-CEC03C70EA17}"/>
    <cellStyle name="Note 2 4 7" xfId="2749" xr:uid="{00000000-0005-0000-0000-00002E210000}"/>
    <cellStyle name="Note 2 4 8" xfId="2830" xr:uid="{00000000-0005-0000-0000-00002F210000}"/>
    <cellStyle name="Note 2 4 8 2" xfId="7054" xr:uid="{00000000-0005-0000-0000-000030210000}"/>
    <cellStyle name="Note 2 4 8 2 2" xfId="15496" xr:uid="{20BA49C3-B56E-4C05-9D9E-5836C3E093FB}"/>
    <cellStyle name="Note 2 4 8 3" xfId="11278" xr:uid="{76340C53-44F6-4F89-A87A-2CDFC8A6C8B0}"/>
    <cellStyle name="Note 2 4 9" xfId="4909" xr:uid="{00000000-0005-0000-0000-000031210000}"/>
    <cellStyle name="Note 2 4 9 2" xfId="13351" xr:uid="{3BE0767D-296F-4499-9B57-88E5D0A95659}"/>
    <cellStyle name="Note 2 5" xfId="552" xr:uid="{00000000-0005-0000-0000-000032210000}"/>
    <cellStyle name="Note 2 5 10" xfId="9134" xr:uid="{5C2F6DE0-AE8E-40E9-9422-0D592DA6705F}"/>
    <cellStyle name="Note 2 5 2" xfId="1013" xr:uid="{00000000-0005-0000-0000-000033210000}"/>
    <cellStyle name="Note 2 5 2 2" xfId="3245" xr:uid="{00000000-0005-0000-0000-000034210000}"/>
    <cellStyle name="Note 2 5 2 2 2" xfId="7468" xr:uid="{00000000-0005-0000-0000-000035210000}"/>
    <cellStyle name="Note 2 5 2 2 2 2" xfId="15910" xr:uid="{40782D7D-2469-4131-82A1-D5772E8C2A8F}"/>
    <cellStyle name="Note 2 5 2 2 3" xfId="11692" xr:uid="{5224219F-EE5A-4383-94E3-5F461BB08357}"/>
    <cellStyle name="Note 2 5 2 3" xfId="5323" xr:uid="{00000000-0005-0000-0000-000036210000}"/>
    <cellStyle name="Note 2 5 2 3 2" xfId="13765" xr:uid="{875BC329-D50E-4F80-8126-1FAFDCA58D49}"/>
    <cellStyle name="Note 2 5 2 4" xfId="9547" xr:uid="{BD223841-227C-435C-9475-006B91F81560}"/>
    <cellStyle name="Note 2 5 3" xfId="1428" xr:uid="{00000000-0005-0000-0000-000037210000}"/>
    <cellStyle name="Note 2 5 3 2" xfId="3658" xr:uid="{00000000-0005-0000-0000-000038210000}"/>
    <cellStyle name="Note 2 5 3 2 2" xfId="7881" xr:uid="{00000000-0005-0000-0000-000039210000}"/>
    <cellStyle name="Note 2 5 3 2 2 2" xfId="16323" xr:uid="{3B4CCFB0-C07D-44ED-ADCE-6890D8D435C1}"/>
    <cellStyle name="Note 2 5 3 2 3" xfId="12105" xr:uid="{BC27B16F-FA23-4D7E-81AD-C96BE7FA6F5A}"/>
    <cellStyle name="Note 2 5 3 3" xfId="5736" xr:uid="{00000000-0005-0000-0000-00003A210000}"/>
    <cellStyle name="Note 2 5 3 3 2" xfId="14178" xr:uid="{C4207A83-98EB-4636-9AF9-E72581CE2D94}"/>
    <cellStyle name="Note 2 5 3 4" xfId="9960" xr:uid="{A0F3676D-DDD9-46B1-ACCB-C90FC0ECB4DA}"/>
    <cellStyle name="Note 2 5 4" xfId="1842" xr:uid="{00000000-0005-0000-0000-00003B210000}"/>
    <cellStyle name="Note 2 5 4 2" xfId="4071" xr:uid="{00000000-0005-0000-0000-00003C210000}"/>
    <cellStyle name="Note 2 5 4 2 2" xfId="8294" xr:uid="{00000000-0005-0000-0000-00003D210000}"/>
    <cellStyle name="Note 2 5 4 2 2 2" xfId="16736" xr:uid="{A866012C-22B2-49FD-ACEE-37B6FC74B69F}"/>
    <cellStyle name="Note 2 5 4 2 3" xfId="12518" xr:uid="{22E4317F-7CAC-41C0-BFD4-A25B1B902662}"/>
    <cellStyle name="Note 2 5 4 3" xfId="6149" xr:uid="{00000000-0005-0000-0000-00003E210000}"/>
    <cellStyle name="Note 2 5 4 3 2" xfId="14591" xr:uid="{A327EE18-E8B8-4931-9A0D-A3776AFAFF72}"/>
    <cellStyle name="Note 2 5 4 4" xfId="10373" xr:uid="{2AD3017C-8C68-4BAC-A5FE-B7DC8E832572}"/>
    <cellStyle name="Note 2 5 5" xfId="2255" xr:uid="{00000000-0005-0000-0000-00003F210000}"/>
    <cellStyle name="Note 2 5 5 2" xfId="4484" xr:uid="{00000000-0005-0000-0000-000040210000}"/>
    <cellStyle name="Note 2 5 5 2 2" xfId="8707" xr:uid="{00000000-0005-0000-0000-000041210000}"/>
    <cellStyle name="Note 2 5 5 2 2 2" xfId="17149" xr:uid="{2BDB30B0-5C72-497E-AFFF-4A7A0FE59899}"/>
    <cellStyle name="Note 2 5 5 2 3" xfId="12931" xr:uid="{4E96D5EE-4FFB-4B0A-97FF-AD47694D4EF8}"/>
    <cellStyle name="Note 2 5 5 3" xfId="6562" xr:uid="{00000000-0005-0000-0000-000042210000}"/>
    <cellStyle name="Note 2 5 5 3 2" xfId="15004" xr:uid="{07293F95-A77B-41B8-9637-97C930639A82}"/>
    <cellStyle name="Note 2 5 5 4" xfId="10786" xr:uid="{39C97401-7566-4DA7-B13D-EB380161CCB5}"/>
    <cellStyle name="Note 2 5 6" xfId="2691" xr:uid="{00000000-0005-0000-0000-000043210000}"/>
    <cellStyle name="Note 2 5 6 2" xfId="6975" xr:uid="{00000000-0005-0000-0000-000044210000}"/>
    <cellStyle name="Note 2 5 6 2 2" xfId="15417" xr:uid="{9E8D7478-BB0D-459B-A90A-F78FDDACFBE8}"/>
    <cellStyle name="Note 2 5 6 3" xfId="11199" xr:uid="{F5F2E9C5-B127-4BE1-9810-4E0E5D78ED00}"/>
    <cellStyle name="Note 2 5 7" xfId="2750" xr:uid="{00000000-0005-0000-0000-000045210000}"/>
    <cellStyle name="Note 2 5 8" xfId="2831" xr:uid="{00000000-0005-0000-0000-000046210000}"/>
    <cellStyle name="Note 2 5 8 2" xfId="7055" xr:uid="{00000000-0005-0000-0000-000047210000}"/>
    <cellStyle name="Note 2 5 8 2 2" xfId="15497" xr:uid="{FE5A38C1-EDCE-435C-BD8C-0800D06B080A}"/>
    <cellStyle name="Note 2 5 8 3" xfId="11279" xr:uid="{9F7A75F9-C498-427B-AAC8-B15B12EA8371}"/>
    <cellStyle name="Note 2 5 9" xfId="4910" xr:uid="{00000000-0005-0000-0000-000048210000}"/>
    <cellStyle name="Note 2 5 9 2" xfId="13352" xr:uid="{77EB6095-C9F5-4723-8D5D-B675E9980CCB}"/>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F4F30DE7-338B-4571-AEF0-E3F6F8D3DE44}"/>
    <cellStyle name="Note 3 2 10 3" xfId="11280" xr:uid="{F1D77F9A-7801-457F-AFC5-6EC8135F414E}"/>
    <cellStyle name="Note 3 2 11" xfId="4911" xr:uid="{00000000-0005-0000-0000-00004D210000}"/>
    <cellStyle name="Note 3 2 11 2" xfId="13353" xr:uid="{33FB038C-FF2D-4A35-957C-DEBF2D257E49}"/>
    <cellStyle name="Note 3 2 12" xfId="9135" xr:uid="{DA57686C-A779-4CB5-9577-E68B26D2AA08}"/>
    <cellStyle name="Note 3 2 2" xfId="555" xr:uid="{00000000-0005-0000-0000-00004E210000}"/>
    <cellStyle name="Note 3 2 2 10" xfId="4912" xr:uid="{00000000-0005-0000-0000-00004F210000}"/>
    <cellStyle name="Note 3 2 2 10 2" xfId="13354" xr:uid="{61A515DC-D887-46BB-AB99-F798E25752DB}"/>
    <cellStyle name="Note 3 2 2 11" xfId="9136" xr:uid="{C7BA5B43-98C9-4653-8DFB-41B5D3AF473B}"/>
    <cellStyle name="Note 3 2 2 2" xfId="556" xr:uid="{00000000-0005-0000-0000-000050210000}"/>
    <cellStyle name="Note 3 2 2 2 10" xfId="9137" xr:uid="{983F160B-B1F5-485A-B316-FA79AE0F96F8}"/>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4A6F1038-A456-40D9-92FE-A6915BF90E0C}"/>
    <cellStyle name="Note 3 2 2 2 2 2 3" xfId="11695" xr:uid="{7A186DA5-DE8E-42F5-ABEB-5194F3950A91}"/>
    <cellStyle name="Note 3 2 2 2 2 3" xfId="5326" xr:uid="{00000000-0005-0000-0000-000054210000}"/>
    <cellStyle name="Note 3 2 2 2 2 3 2" xfId="13768" xr:uid="{A54B64C8-6320-44DA-9D15-2E8DE8B578D9}"/>
    <cellStyle name="Note 3 2 2 2 2 4" xfId="9550" xr:uid="{3ED074D2-FC7F-4BB6-9D67-483D252EFED8}"/>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E79EE6BF-0301-4D3B-862F-FAB757F4340E}"/>
    <cellStyle name="Note 3 2 2 2 3 2 3" xfId="12108" xr:uid="{925F0000-9893-4834-93F8-E59473B1788F}"/>
    <cellStyle name="Note 3 2 2 2 3 3" xfId="5739" xr:uid="{00000000-0005-0000-0000-000058210000}"/>
    <cellStyle name="Note 3 2 2 2 3 3 2" xfId="14181" xr:uid="{7AF52E9D-C292-4BCA-91CD-8F9D0B4363C6}"/>
    <cellStyle name="Note 3 2 2 2 3 4" xfId="9963" xr:uid="{91BE5139-0502-49C9-9CDD-05D04FE596CE}"/>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4D4FA51B-E073-4F13-8AF7-0AB7ED1B5E58}"/>
    <cellStyle name="Note 3 2 2 2 4 2 3" xfId="12521" xr:uid="{92E95CD7-02E3-403B-9174-FD5EED72F951}"/>
    <cellStyle name="Note 3 2 2 2 4 3" xfId="6152" xr:uid="{00000000-0005-0000-0000-00005C210000}"/>
    <cellStyle name="Note 3 2 2 2 4 3 2" xfId="14594" xr:uid="{AC5F9B6C-8BAB-4FE5-98A0-9B54BC965F3F}"/>
    <cellStyle name="Note 3 2 2 2 4 4" xfId="10376" xr:uid="{B41C7C10-EEB9-4DDA-9235-24EEAA27665D}"/>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1944ED77-F8ED-45C6-BD6B-EEAEA3C18057}"/>
    <cellStyle name="Note 3 2 2 2 5 2 3" xfId="12934" xr:uid="{AEC3A277-12B0-4333-9D5A-12C0F1177EA7}"/>
    <cellStyle name="Note 3 2 2 2 5 3" xfId="6565" xr:uid="{00000000-0005-0000-0000-000060210000}"/>
    <cellStyle name="Note 3 2 2 2 5 3 2" xfId="15007" xr:uid="{C45ECCC3-E1FF-41F6-A960-63458A332589}"/>
    <cellStyle name="Note 3 2 2 2 5 4" xfId="10789" xr:uid="{3158E4AA-1AE3-444F-9F9D-40AF0C0BD0E9}"/>
    <cellStyle name="Note 3 2 2 2 6" xfId="2694" xr:uid="{00000000-0005-0000-0000-000061210000}"/>
    <cellStyle name="Note 3 2 2 2 6 2" xfId="6978" xr:uid="{00000000-0005-0000-0000-000062210000}"/>
    <cellStyle name="Note 3 2 2 2 6 2 2" xfId="15420" xr:uid="{32D5F0F8-20EB-4CA7-94E4-9402FD355025}"/>
    <cellStyle name="Note 3 2 2 2 6 3" xfId="11202" xr:uid="{BBA10736-D6E1-46EB-9FDA-80ED4DB7D8B1}"/>
    <cellStyle name="Note 3 2 2 2 7" xfId="2753" xr:uid="{00000000-0005-0000-0000-000063210000}"/>
    <cellStyle name="Note 3 2 2 2 8" xfId="2834" xr:uid="{00000000-0005-0000-0000-000064210000}"/>
    <cellStyle name="Note 3 2 2 2 8 2" xfId="7058" xr:uid="{00000000-0005-0000-0000-000065210000}"/>
    <cellStyle name="Note 3 2 2 2 8 2 2" xfId="15500" xr:uid="{4846767B-EFA4-486A-8447-74AAE7CF888F}"/>
    <cellStyle name="Note 3 2 2 2 8 3" xfId="11282" xr:uid="{DAB8FD7F-C951-4F76-A4A2-1C254C9935AD}"/>
    <cellStyle name="Note 3 2 2 2 9" xfId="4913" xr:uid="{00000000-0005-0000-0000-000066210000}"/>
    <cellStyle name="Note 3 2 2 2 9 2" xfId="13355" xr:uid="{DBA8B324-FBE5-47B4-BF85-C45EE346E1BB}"/>
    <cellStyle name="Note 3 2 2 3" xfId="1015" xr:uid="{00000000-0005-0000-0000-000067210000}"/>
    <cellStyle name="Note 3 2 2 3 2" xfId="3247" xr:uid="{00000000-0005-0000-0000-000068210000}"/>
    <cellStyle name="Note 3 2 2 3 2 2" xfId="7470" xr:uid="{00000000-0005-0000-0000-000069210000}"/>
    <cellStyle name="Note 3 2 2 3 2 2 2" xfId="15912" xr:uid="{312E5C93-3E62-4C15-BA31-3E5F94BF8220}"/>
    <cellStyle name="Note 3 2 2 3 2 3" xfId="11694" xr:uid="{12E257A9-953E-4C59-B992-10CB6EEC93A6}"/>
    <cellStyle name="Note 3 2 2 3 3" xfId="5325" xr:uid="{00000000-0005-0000-0000-00006A210000}"/>
    <cellStyle name="Note 3 2 2 3 3 2" xfId="13767" xr:uid="{B0E9C142-586E-4EB2-B1CB-428C31AA7182}"/>
    <cellStyle name="Note 3 2 2 3 4" xfId="9549" xr:uid="{4F0937D5-330B-400F-BE74-CBAFD9A7BAC4}"/>
    <cellStyle name="Note 3 2 2 4" xfId="1430" xr:uid="{00000000-0005-0000-0000-00006B210000}"/>
    <cellStyle name="Note 3 2 2 4 2" xfId="3660" xr:uid="{00000000-0005-0000-0000-00006C210000}"/>
    <cellStyle name="Note 3 2 2 4 2 2" xfId="7883" xr:uid="{00000000-0005-0000-0000-00006D210000}"/>
    <cellStyle name="Note 3 2 2 4 2 2 2" xfId="16325" xr:uid="{8F7D46EF-07D5-4650-AC66-73FB886A77F4}"/>
    <cellStyle name="Note 3 2 2 4 2 3" xfId="12107" xr:uid="{EAF5AC8E-AA22-4543-BA64-9B54488AD662}"/>
    <cellStyle name="Note 3 2 2 4 3" xfId="5738" xr:uid="{00000000-0005-0000-0000-00006E210000}"/>
    <cellStyle name="Note 3 2 2 4 3 2" xfId="14180" xr:uid="{FA660AA7-DA4B-4F5C-BF47-C5C6F5A086A6}"/>
    <cellStyle name="Note 3 2 2 4 4" xfId="9962" xr:uid="{30B5E4F2-D97B-41C8-A825-D3E3A884E225}"/>
    <cellStyle name="Note 3 2 2 5" xfId="1844" xr:uid="{00000000-0005-0000-0000-00006F210000}"/>
    <cellStyle name="Note 3 2 2 5 2" xfId="4073" xr:uid="{00000000-0005-0000-0000-000070210000}"/>
    <cellStyle name="Note 3 2 2 5 2 2" xfId="8296" xr:uid="{00000000-0005-0000-0000-000071210000}"/>
    <cellStyle name="Note 3 2 2 5 2 2 2" xfId="16738" xr:uid="{FE14EBBF-341E-4666-AF78-8078C546EB9D}"/>
    <cellStyle name="Note 3 2 2 5 2 3" xfId="12520" xr:uid="{3B09458B-267F-4F78-88DA-D5DD161848EF}"/>
    <cellStyle name="Note 3 2 2 5 3" xfId="6151" xr:uid="{00000000-0005-0000-0000-000072210000}"/>
    <cellStyle name="Note 3 2 2 5 3 2" xfId="14593" xr:uid="{C6E816D6-7D22-4149-BD60-B80EC7C938A2}"/>
    <cellStyle name="Note 3 2 2 5 4" xfId="10375" xr:uid="{CB3685E3-48F5-49F7-BA7D-103AA428BE7F}"/>
    <cellStyle name="Note 3 2 2 6" xfId="2257" xr:uid="{00000000-0005-0000-0000-000073210000}"/>
    <cellStyle name="Note 3 2 2 6 2" xfId="4486" xr:uid="{00000000-0005-0000-0000-000074210000}"/>
    <cellStyle name="Note 3 2 2 6 2 2" xfId="8709" xr:uid="{00000000-0005-0000-0000-000075210000}"/>
    <cellStyle name="Note 3 2 2 6 2 2 2" xfId="17151" xr:uid="{B552D218-0A0C-4125-BA58-740913984121}"/>
    <cellStyle name="Note 3 2 2 6 2 3" xfId="12933" xr:uid="{4C6049F7-69E0-4593-84D1-E9C824ACA9F4}"/>
    <cellStyle name="Note 3 2 2 6 3" xfId="6564" xr:uid="{00000000-0005-0000-0000-000076210000}"/>
    <cellStyle name="Note 3 2 2 6 3 2" xfId="15006" xr:uid="{CF54E04E-E2CE-46B2-9684-4F11F4D4CE01}"/>
    <cellStyle name="Note 3 2 2 6 4" xfId="10788" xr:uid="{343DABE9-F1F7-481D-9AE7-B1515788EF4B}"/>
    <cellStyle name="Note 3 2 2 7" xfId="2693" xr:uid="{00000000-0005-0000-0000-000077210000}"/>
    <cellStyle name="Note 3 2 2 7 2" xfId="6977" xr:uid="{00000000-0005-0000-0000-000078210000}"/>
    <cellStyle name="Note 3 2 2 7 2 2" xfId="15419" xr:uid="{5FFED7CE-D1CF-4EA4-B5C2-551CDF9C2C0C}"/>
    <cellStyle name="Note 3 2 2 7 3" xfId="11201" xr:uid="{85063C52-9FCC-469C-BA93-605722947950}"/>
    <cellStyle name="Note 3 2 2 8" xfId="2752" xr:uid="{00000000-0005-0000-0000-000079210000}"/>
    <cellStyle name="Note 3 2 2 9" xfId="2833" xr:uid="{00000000-0005-0000-0000-00007A210000}"/>
    <cellStyle name="Note 3 2 2 9 2" xfId="7057" xr:uid="{00000000-0005-0000-0000-00007B210000}"/>
    <cellStyle name="Note 3 2 2 9 2 2" xfId="15499" xr:uid="{392943C1-0F5C-4DEC-9C61-1B5D5EAB9CB5}"/>
    <cellStyle name="Note 3 2 2 9 3" xfId="11281" xr:uid="{36E9ABC9-0D3F-4E2B-AD5D-6B2101950ACE}"/>
    <cellStyle name="Note 3 2 3" xfId="557" xr:uid="{00000000-0005-0000-0000-00007C210000}"/>
    <cellStyle name="Note 3 2 3 10" xfId="9138" xr:uid="{7936500F-E15F-481C-80C7-AD206D045C80}"/>
    <cellStyle name="Note 3 2 3 2" xfId="1017" xr:uid="{00000000-0005-0000-0000-00007D210000}"/>
    <cellStyle name="Note 3 2 3 2 2" xfId="3249" xr:uid="{00000000-0005-0000-0000-00007E210000}"/>
    <cellStyle name="Note 3 2 3 2 2 2" xfId="7472" xr:uid="{00000000-0005-0000-0000-00007F210000}"/>
    <cellStyle name="Note 3 2 3 2 2 2 2" xfId="15914" xr:uid="{449BDAD4-9C22-4C4E-86B7-2DFFD04AB24F}"/>
    <cellStyle name="Note 3 2 3 2 2 3" xfId="11696" xr:uid="{BE1F1DFC-981F-4B75-9070-F7578714A5F1}"/>
    <cellStyle name="Note 3 2 3 2 3" xfId="5327" xr:uid="{00000000-0005-0000-0000-000080210000}"/>
    <cellStyle name="Note 3 2 3 2 3 2" xfId="13769" xr:uid="{F4A5BA8A-1704-45B7-8502-0F66A249677E}"/>
    <cellStyle name="Note 3 2 3 2 4" xfId="9551" xr:uid="{E1C4F66D-F938-414F-9F85-25964452A4D9}"/>
    <cellStyle name="Note 3 2 3 3" xfId="1432" xr:uid="{00000000-0005-0000-0000-000081210000}"/>
    <cellStyle name="Note 3 2 3 3 2" xfId="3662" xr:uid="{00000000-0005-0000-0000-000082210000}"/>
    <cellStyle name="Note 3 2 3 3 2 2" xfId="7885" xr:uid="{00000000-0005-0000-0000-000083210000}"/>
    <cellStyle name="Note 3 2 3 3 2 2 2" xfId="16327" xr:uid="{93C4E201-9A79-4C7C-8A01-B0243EA6F650}"/>
    <cellStyle name="Note 3 2 3 3 2 3" xfId="12109" xr:uid="{BD629421-0079-48F2-BA19-03651E1E9644}"/>
    <cellStyle name="Note 3 2 3 3 3" xfId="5740" xr:uid="{00000000-0005-0000-0000-000084210000}"/>
    <cellStyle name="Note 3 2 3 3 3 2" xfId="14182" xr:uid="{4B0383EB-02B5-4E97-B85A-8611205CC340}"/>
    <cellStyle name="Note 3 2 3 3 4" xfId="9964" xr:uid="{A9E36822-71C2-4E97-A07E-2938E7B8DE07}"/>
    <cellStyle name="Note 3 2 3 4" xfId="1846" xr:uid="{00000000-0005-0000-0000-000085210000}"/>
    <cellStyle name="Note 3 2 3 4 2" xfId="4075" xr:uid="{00000000-0005-0000-0000-000086210000}"/>
    <cellStyle name="Note 3 2 3 4 2 2" xfId="8298" xr:uid="{00000000-0005-0000-0000-000087210000}"/>
    <cellStyle name="Note 3 2 3 4 2 2 2" xfId="16740" xr:uid="{B30B8BA1-4237-47D1-8420-86AA847AE6DA}"/>
    <cellStyle name="Note 3 2 3 4 2 3" xfId="12522" xr:uid="{660014B2-D0CC-400B-B347-BC16F922AA19}"/>
    <cellStyle name="Note 3 2 3 4 3" xfId="6153" xr:uid="{00000000-0005-0000-0000-000088210000}"/>
    <cellStyle name="Note 3 2 3 4 3 2" xfId="14595" xr:uid="{653C7D74-35C2-4112-B474-A24BFF9E8F5F}"/>
    <cellStyle name="Note 3 2 3 4 4" xfId="10377" xr:uid="{1683142E-9307-4897-B5B0-1D893F62ADBE}"/>
    <cellStyle name="Note 3 2 3 5" xfId="2259" xr:uid="{00000000-0005-0000-0000-000089210000}"/>
    <cellStyle name="Note 3 2 3 5 2" xfId="4488" xr:uid="{00000000-0005-0000-0000-00008A210000}"/>
    <cellStyle name="Note 3 2 3 5 2 2" xfId="8711" xr:uid="{00000000-0005-0000-0000-00008B210000}"/>
    <cellStyle name="Note 3 2 3 5 2 2 2" xfId="17153" xr:uid="{904A6ED6-087F-46FB-ADA5-7B40BDF55AD1}"/>
    <cellStyle name="Note 3 2 3 5 2 3" xfId="12935" xr:uid="{21323D47-50F9-447F-8083-6146C71F036E}"/>
    <cellStyle name="Note 3 2 3 5 3" xfId="6566" xr:uid="{00000000-0005-0000-0000-00008C210000}"/>
    <cellStyle name="Note 3 2 3 5 3 2" xfId="15008" xr:uid="{E1938E6F-0C89-4444-A2C6-704E5FDB4595}"/>
    <cellStyle name="Note 3 2 3 5 4" xfId="10790" xr:uid="{7CFC16EC-784D-45FF-8CA5-2E2FB08D7A5A}"/>
    <cellStyle name="Note 3 2 3 6" xfId="2695" xr:uid="{00000000-0005-0000-0000-00008D210000}"/>
    <cellStyle name="Note 3 2 3 6 2" xfId="6979" xr:uid="{00000000-0005-0000-0000-00008E210000}"/>
    <cellStyle name="Note 3 2 3 6 2 2" xfId="15421" xr:uid="{01F5EF71-2BBD-4AB6-B1A0-FCE60132AFFB}"/>
    <cellStyle name="Note 3 2 3 6 3" xfId="11203" xr:uid="{F20A426D-A8B4-4794-923A-66772E643C41}"/>
    <cellStyle name="Note 3 2 3 7" xfId="2754" xr:uid="{00000000-0005-0000-0000-00008F210000}"/>
    <cellStyle name="Note 3 2 3 8" xfId="2835" xr:uid="{00000000-0005-0000-0000-000090210000}"/>
    <cellStyle name="Note 3 2 3 8 2" xfId="7059" xr:uid="{00000000-0005-0000-0000-000091210000}"/>
    <cellStyle name="Note 3 2 3 8 2 2" xfId="15501" xr:uid="{0DC86CBE-7835-4F68-96D2-E89A0939F799}"/>
    <cellStyle name="Note 3 2 3 8 3" xfId="11283" xr:uid="{2B2B9B40-7EA4-4697-AFB3-01F93C098494}"/>
    <cellStyle name="Note 3 2 3 9" xfId="4914" xr:uid="{00000000-0005-0000-0000-000092210000}"/>
    <cellStyle name="Note 3 2 3 9 2" xfId="13356" xr:uid="{4558F51B-77BA-4C52-9DCF-7493C83B65B2}"/>
    <cellStyle name="Note 3 2 4" xfId="1014" xr:uid="{00000000-0005-0000-0000-000093210000}"/>
    <cellStyle name="Note 3 2 4 2" xfId="3246" xr:uid="{00000000-0005-0000-0000-000094210000}"/>
    <cellStyle name="Note 3 2 4 2 2" xfId="7469" xr:uid="{00000000-0005-0000-0000-000095210000}"/>
    <cellStyle name="Note 3 2 4 2 2 2" xfId="15911" xr:uid="{80B37507-B641-4166-AE1C-FE54CA3C2EA2}"/>
    <cellStyle name="Note 3 2 4 2 3" xfId="11693" xr:uid="{2D5E1396-FFF5-4725-A413-FB83B4ACA07D}"/>
    <cellStyle name="Note 3 2 4 3" xfId="5324" xr:uid="{00000000-0005-0000-0000-000096210000}"/>
    <cellStyle name="Note 3 2 4 3 2" xfId="13766" xr:uid="{258655F8-9603-4AA1-8986-CA83211291E7}"/>
    <cellStyle name="Note 3 2 4 4" xfId="9548" xr:uid="{6563D648-83CD-4B29-A0A8-83B3B175A982}"/>
    <cellStyle name="Note 3 2 5" xfId="1429" xr:uid="{00000000-0005-0000-0000-000097210000}"/>
    <cellStyle name="Note 3 2 5 2" xfId="3659" xr:uid="{00000000-0005-0000-0000-000098210000}"/>
    <cellStyle name="Note 3 2 5 2 2" xfId="7882" xr:uid="{00000000-0005-0000-0000-000099210000}"/>
    <cellStyle name="Note 3 2 5 2 2 2" xfId="16324" xr:uid="{4F341AD7-A976-45AA-8C3E-E60EEE458EB3}"/>
    <cellStyle name="Note 3 2 5 2 3" xfId="12106" xr:uid="{44811993-5E19-498E-BBF3-0B3ED3D8EAA5}"/>
    <cellStyle name="Note 3 2 5 3" xfId="5737" xr:uid="{00000000-0005-0000-0000-00009A210000}"/>
    <cellStyle name="Note 3 2 5 3 2" xfId="14179" xr:uid="{F732B3F0-C1C0-42D7-9005-590D2235029E}"/>
    <cellStyle name="Note 3 2 5 4" xfId="9961" xr:uid="{78F8CB02-DECE-4139-B671-9BD911DDCCDF}"/>
    <cellStyle name="Note 3 2 6" xfId="1843" xr:uid="{00000000-0005-0000-0000-00009B210000}"/>
    <cellStyle name="Note 3 2 6 2" xfId="4072" xr:uid="{00000000-0005-0000-0000-00009C210000}"/>
    <cellStyle name="Note 3 2 6 2 2" xfId="8295" xr:uid="{00000000-0005-0000-0000-00009D210000}"/>
    <cellStyle name="Note 3 2 6 2 2 2" xfId="16737" xr:uid="{761942A3-641E-4778-A1FA-CED00F94929F}"/>
    <cellStyle name="Note 3 2 6 2 3" xfId="12519" xr:uid="{DF2DBE10-2097-4B22-B288-AB9D221B6D3B}"/>
    <cellStyle name="Note 3 2 6 3" xfId="6150" xr:uid="{00000000-0005-0000-0000-00009E210000}"/>
    <cellStyle name="Note 3 2 6 3 2" xfId="14592" xr:uid="{AF538A88-E45C-4492-8DFC-0B9F702BA82C}"/>
    <cellStyle name="Note 3 2 6 4" xfId="10374" xr:uid="{1CCD8A87-3D55-459D-B0B4-A73948E290B4}"/>
    <cellStyle name="Note 3 2 7" xfId="2256" xr:uid="{00000000-0005-0000-0000-00009F210000}"/>
    <cellStyle name="Note 3 2 7 2" xfId="4485" xr:uid="{00000000-0005-0000-0000-0000A0210000}"/>
    <cellStyle name="Note 3 2 7 2 2" xfId="8708" xr:uid="{00000000-0005-0000-0000-0000A1210000}"/>
    <cellStyle name="Note 3 2 7 2 2 2" xfId="17150" xr:uid="{DE7EF16F-97D2-43FF-BA16-DB5F511BDDE6}"/>
    <cellStyle name="Note 3 2 7 2 3" xfId="12932" xr:uid="{4A940494-6043-4F3F-9FC4-9793B36C32FE}"/>
    <cellStyle name="Note 3 2 7 3" xfId="6563" xr:uid="{00000000-0005-0000-0000-0000A2210000}"/>
    <cellStyle name="Note 3 2 7 3 2" xfId="15005" xr:uid="{9375B4E4-11F7-484E-B556-EAD50F47E4B9}"/>
    <cellStyle name="Note 3 2 7 4" xfId="10787" xr:uid="{57502D2D-7137-442B-8740-714A4EA81F3E}"/>
    <cellStyle name="Note 3 2 8" xfId="2692" xr:uid="{00000000-0005-0000-0000-0000A3210000}"/>
    <cellStyle name="Note 3 2 8 2" xfId="6976" xr:uid="{00000000-0005-0000-0000-0000A4210000}"/>
    <cellStyle name="Note 3 2 8 2 2" xfId="15418" xr:uid="{CB1715A6-6C1A-4BE7-BEB3-DD878366532A}"/>
    <cellStyle name="Note 3 2 8 3" xfId="11200" xr:uid="{4AAB48E5-3023-40FF-BF65-31578F6A3185}"/>
    <cellStyle name="Note 3 2 9" xfId="2751" xr:uid="{00000000-0005-0000-0000-0000A5210000}"/>
    <cellStyle name="Note 3 3" xfId="558" xr:uid="{00000000-0005-0000-0000-0000A6210000}"/>
    <cellStyle name="Note 3 3 10" xfId="4915" xr:uid="{00000000-0005-0000-0000-0000A7210000}"/>
    <cellStyle name="Note 3 3 10 2" xfId="13357" xr:uid="{8D558F01-457E-42CD-90AC-C0D006903D88}"/>
    <cellStyle name="Note 3 3 11" xfId="9139" xr:uid="{21DE256B-A915-44C5-A017-D6BFF95B1DAE}"/>
    <cellStyle name="Note 3 3 2" xfId="559" xr:uid="{00000000-0005-0000-0000-0000A8210000}"/>
    <cellStyle name="Note 3 3 2 10" xfId="9140" xr:uid="{52F96192-5B86-4554-B8B5-B40F0783617A}"/>
    <cellStyle name="Note 3 3 2 2" xfId="1019" xr:uid="{00000000-0005-0000-0000-0000A9210000}"/>
    <cellStyle name="Note 3 3 2 2 2" xfId="3251" xr:uid="{00000000-0005-0000-0000-0000AA210000}"/>
    <cellStyle name="Note 3 3 2 2 2 2" xfId="7474" xr:uid="{00000000-0005-0000-0000-0000AB210000}"/>
    <cellStyle name="Note 3 3 2 2 2 2 2" xfId="15916" xr:uid="{5BC5E2F9-3C21-4406-ABD9-A04882950268}"/>
    <cellStyle name="Note 3 3 2 2 2 3" xfId="11698" xr:uid="{04FEA1A0-BF24-44BC-8E58-71B27371177C}"/>
    <cellStyle name="Note 3 3 2 2 3" xfId="5329" xr:uid="{00000000-0005-0000-0000-0000AC210000}"/>
    <cellStyle name="Note 3 3 2 2 3 2" xfId="13771" xr:uid="{5B6569A3-8897-4D30-9BE5-E31349149A95}"/>
    <cellStyle name="Note 3 3 2 2 4" xfId="9553" xr:uid="{67B9A604-259F-4F55-A379-106850F549B7}"/>
    <cellStyle name="Note 3 3 2 3" xfId="1434" xr:uid="{00000000-0005-0000-0000-0000AD210000}"/>
    <cellStyle name="Note 3 3 2 3 2" xfId="3664" xr:uid="{00000000-0005-0000-0000-0000AE210000}"/>
    <cellStyle name="Note 3 3 2 3 2 2" xfId="7887" xr:uid="{00000000-0005-0000-0000-0000AF210000}"/>
    <cellStyle name="Note 3 3 2 3 2 2 2" xfId="16329" xr:uid="{A607361B-790C-4186-87E4-8E3EBBA44E29}"/>
    <cellStyle name="Note 3 3 2 3 2 3" xfId="12111" xr:uid="{DB5DA1B0-FC41-4475-8DF7-542D98E26675}"/>
    <cellStyle name="Note 3 3 2 3 3" xfId="5742" xr:uid="{00000000-0005-0000-0000-0000B0210000}"/>
    <cellStyle name="Note 3 3 2 3 3 2" xfId="14184" xr:uid="{5CC19B60-D1C1-4162-886A-A75F1B2B9CE6}"/>
    <cellStyle name="Note 3 3 2 3 4" xfId="9966" xr:uid="{F7487CEA-6C70-4C28-BA8A-2C9E1090E033}"/>
    <cellStyle name="Note 3 3 2 4" xfId="1848" xr:uid="{00000000-0005-0000-0000-0000B1210000}"/>
    <cellStyle name="Note 3 3 2 4 2" xfId="4077" xr:uid="{00000000-0005-0000-0000-0000B2210000}"/>
    <cellStyle name="Note 3 3 2 4 2 2" xfId="8300" xr:uid="{00000000-0005-0000-0000-0000B3210000}"/>
    <cellStyle name="Note 3 3 2 4 2 2 2" xfId="16742" xr:uid="{40B8DACC-663A-4024-8200-1041B48912FB}"/>
    <cellStyle name="Note 3 3 2 4 2 3" xfId="12524" xr:uid="{BE09B234-9FA7-4498-B855-92DB45F5BE52}"/>
    <cellStyle name="Note 3 3 2 4 3" xfId="6155" xr:uid="{00000000-0005-0000-0000-0000B4210000}"/>
    <cellStyle name="Note 3 3 2 4 3 2" xfId="14597" xr:uid="{703720E7-F6FA-4A75-B46D-BF8E3F90FA13}"/>
    <cellStyle name="Note 3 3 2 4 4" xfId="10379" xr:uid="{19856524-D793-4B79-A91D-F5281DCDDA13}"/>
    <cellStyle name="Note 3 3 2 5" xfId="2261" xr:uid="{00000000-0005-0000-0000-0000B5210000}"/>
    <cellStyle name="Note 3 3 2 5 2" xfId="4490" xr:uid="{00000000-0005-0000-0000-0000B6210000}"/>
    <cellStyle name="Note 3 3 2 5 2 2" xfId="8713" xr:uid="{00000000-0005-0000-0000-0000B7210000}"/>
    <cellStyle name="Note 3 3 2 5 2 2 2" xfId="17155" xr:uid="{FE6C3216-12A5-4A47-9994-B03B5537C849}"/>
    <cellStyle name="Note 3 3 2 5 2 3" xfId="12937" xr:uid="{DC7EED6D-1861-4565-9B40-4957A6E1ED04}"/>
    <cellStyle name="Note 3 3 2 5 3" xfId="6568" xr:uid="{00000000-0005-0000-0000-0000B8210000}"/>
    <cellStyle name="Note 3 3 2 5 3 2" xfId="15010" xr:uid="{0B2193CB-378F-4E11-802F-B88B4A35D967}"/>
    <cellStyle name="Note 3 3 2 5 4" xfId="10792" xr:uid="{13AC0281-99BF-49AE-841B-908815BEF376}"/>
    <cellStyle name="Note 3 3 2 6" xfId="2697" xr:uid="{00000000-0005-0000-0000-0000B9210000}"/>
    <cellStyle name="Note 3 3 2 6 2" xfId="6981" xr:uid="{00000000-0005-0000-0000-0000BA210000}"/>
    <cellStyle name="Note 3 3 2 6 2 2" xfId="15423" xr:uid="{EB1F641F-5B18-49FD-B0D2-57996C7E614A}"/>
    <cellStyle name="Note 3 3 2 6 3" xfId="11205" xr:uid="{AA7A51EB-5D4E-401A-AF1B-818FE61CCDE0}"/>
    <cellStyle name="Note 3 3 2 7" xfId="2756" xr:uid="{00000000-0005-0000-0000-0000BB210000}"/>
    <cellStyle name="Note 3 3 2 8" xfId="2837" xr:uid="{00000000-0005-0000-0000-0000BC210000}"/>
    <cellStyle name="Note 3 3 2 8 2" xfId="7061" xr:uid="{00000000-0005-0000-0000-0000BD210000}"/>
    <cellStyle name="Note 3 3 2 8 2 2" xfId="15503" xr:uid="{384C2030-957E-4172-9C76-AA830E005D2C}"/>
    <cellStyle name="Note 3 3 2 8 3" xfId="11285" xr:uid="{6E9AD8A0-AD1C-431E-B8B5-02823297C18F}"/>
    <cellStyle name="Note 3 3 2 9" xfId="4916" xr:uid="{00000000-0005-0000-0000-0000BE210000}"/>
    <cellStyle name="Note 3 3 2 9 2" xfId="13358" xr:uid="{D0FA55F3-3566-4BF3-B4F5-E8D25DCA04E8}"/>
    <cellStyle name="Note 3 3 3" xfId="1018" xr:uid="{00000000-0005-0000-0000-0000BF210000}"/>
    <cellStyle name="Note 3 3 3 2" xfId="3250" xr:uid="{00000000-0005-0000-0000-0000C0210000}"/>
    <cellStyle name="Note 3 3 3 2 2" xfId="7473" xr:uid="{00000000-0005-0000-0000-0000C1210000}"/>
    <cellStyle name="Note 3 3 3 2 2 2" xfId="15915" xr:uid="{C6150D51-A284-4B92-A431-F2A39D2B6218}"/>
    <cellStyle name="Note 3 3 3 2 3" xfId="11697" xr:uid="{0735F35F-D79F-4FB8-B0DC-31D34E5AEB15}"/>
    <cellStyle name="Note 3 3 3 3" xfId="5328" xr:uid="{00000000-0005-0000-0000-0000C2210000}"/>
    <cellStyle name="Note 3 3 3 3 2" xfId="13770" xr:uid="{436000CF-DD68-4267-83D0-7E913E013C2C}"/>
    <cellStyle name="Note 3 3 3 4" xfId="9552" xr:uid="{DB2013AE-8B00-46CC-B865-A09285C48BAA}"/>
    <cellStyle name="Note 3 3 4" xfId="1433" xr:uid="{00000000-0005-0000-0000-0000C3210000}"/>
    <cellStyle name="Note 3 3 4 2" xfId="3663" xr:uid="{00000000-0005-0000-0000-0000C4210000}"/>
    <cellStyle name="Note 3 3 4 2 2" xfId="7886" xr:uid="{00000000-0005-0000-0000-0000C5210000}"/>
    <cellStyle name="Note 3 3 4 2 2 2" xfId="16328" xr:uid="{54A11DBD-8D2E-4CEA-BB27-117B3C5155C2}"/>
    <cellStyle name="Note 3 3 4 2 3" xfId="12110" xr:uid="{5B29E3B6-A435-4EBF-A38D-76CE21A59E95}"/>
    <cellStyle name="Note 3 3 4 3" xfId="5741" xr:uid="{00000000-0005-0000-0000-0000C6210000}"/>
    <cellStyle name="Note 3 3 4 3 2" xfId="14183" xr:uid="{BDB97A8E-A263-4A2B-8E00-42EF49C21C8D}"/>
    <cellStyle name="Note 3 3 4 4" xfId="9965" xr:uid="{19795E03-CF25-4C84-87D1-3D180EC14F3D}"/>
    <cellStyle name="Note 3 3 5" xfId="1847" xr:uid="{00000000-0005-0000-0000-0000C7210000}"/>
    <cellStyle name="Note 3 3 5 2" xfId="4076" xr:uid="{00000000-0005-0000-0000-0000C8210000}"/>
    <cellStyle name="Note 3 3 5 2 2" xfId="8299" xr:uid="{00000000-0005-0000-0000-0000C9210000}"/>
    <cellStyle name="Note 3 3 5 2 2 2" xfId="16741" xr:uid="{1528AB54-69E2-4FD8-8443-8DA8B35E4D7F}"/>
    <cellStyle name="Note 3 3 5 2 3" xfId="12523" xr:uid="{37547F53-A9E3-46C4-914B-D44F2B9E4249}"/>
    <cellStyle name="Note 3 3 5 3" xfId="6154" xr:uid="{00000000-0005-0000-0000-0000CA210000}"/>
    <cellStyle name="Note 3 3 5 3 2" xfId="14596" xr:uid="{78E6226E-E953-4779-819E-86CC3C1F1BBA}"/>
    <cellStyle name="Note 3 3 5 4" xfId="10378" xr:uid="{3EDC00FC-06EC-4377-81C3-5A8E32AE8588}"/>
    <cellStyle name="Note 3 3 6" xfId="2260" xr:uid="{00000000-0005-0000-0000-0000CB210000}"/>
    <cellStyle name="Note 3 3 6 2" xfId="4489" xr:uid="{00000000-0005-0000-0000-0000CC210000}"/>
    <cellStyle name="Note 3 3 6 2 2" xfId="8712" xr:uid="{00000000-0005-0000-0000-0000CD210000}"/>
    <cellStyle name="Note 3 3 6 2 2 2" xfId="17154" xr:uid="{3930F28A-E963-412A-A72E-354012CB0769}"/>
    <cellStyle name="Note 3 3 6 2 3" xfId="12936" xr:uid="{59620D91-0971-4FD3-B9FA-BF2F3A95AA9F}"/>
    <cellStyle name="Note 3 3 6 3" xfId="6567" xr:uid="{00000000-0005-0000-0000-0000CE210000}"/>
    <cellStyle name="Note 3 3 6 3 2" xfId="15009" xr:uid="{E55F625D-618B-4734-ADF1-0F7892FC055E}"/>
    <cellStyle name="Note 3 3 6 4" xfId="10791" xr:uid="{8F10372B-C9ED-496F-80CB-55862D36BFF9}"/>
    <cellStyle name="Note 3 3 7" xfId="2696" xr:uid="{00000000-0005-0000-0000-0000CF210000}"/>
    <cellStyle name="Note 3 3 7 2" xfId="6980" xr:uid="{00000000-0005-0000-0000-0000D0210000}"/>
    <cellStyle name="Note 3 3 7 2 2" xfId="15422" xr:uid="{3EC9FECD-0A40-41F9-A4AF-8457CDC07A84}"/>
    <cellStyle name="Note 3 3 7 3" xfId="11204" xr:uid="{28AAB89B-72AC-4868-8ED6-6E3F7C9BDEEB}"/>
    <cellStyle name="Note 3 3 8" xfId="2755" xr:uid="{00000000-0005-0000-0000-0000D1210000}"/>
    <cellStyle name="Note 3 3 9" xfId="2836" xr:uid="{00000000-0005-0000-0000-0000D2210000}"/>
    <cellStyle name="Note 3 3 9 2" xfId="7060" xr:uid="{00000000-0005-0000-0000-0000D3210000}"/>
    <cellStyle name="Note 3 3 9 2 2" xfId="15502" xr:uid="{7C181679-9DCB-4195-9B8C-C67B57028B2D}"/>
    <cellStyle name="Note 3 3 9 3" xfId="11284" xr:uid="{F298A375-395A-4982-9326-5CEBAD84978F}"/>
    <cellStyle name="Note 3 4" xfId="560" xr:uid="{00000000-0005-0000-0000-0000D4210000}"/>
    <cellStyle name="Note 3 4 10" xfId="9141" xr:uid="{E923BE4C-F6B0-4F98-B5AE-9918AB488F54}"/>
    <cellStyle name="Note 3 4 2" xfId="1020" xr:uid="{00000000-0005-0000-0000-0000D5210000}"/>
    <cellStyle name="Note 3 4 2 2" xfId="3252" xr:uid="{00000000-0005-0000-0000-0000D6210000}"/>
    <cellStyle name="Note 3 4 2 2 2" xfId="7475" xr:uid="{00000000-0005-0000-0000-0000D7210000}"/>
    <cellStyle name="Note 3 4 2 2 2 2" xfId="15917" xr:uid="{F17E11DE-CE7E-4B63-94FC-47A2041FAABB}"/>
    <cellStyle name="Note 3 4 2 2 3" xfId="11699" xr:uid="{F4D12E35-E681-49BA-AA91-AE220490C888}"/>
    <cellStyle name="Note 3 4 2 3" xfId="5330" xr:uid="{00000000-0005-0000-0000-0000D8210000}"/>
    <cellStyle name="Note 3 4 2 3 2" xfId="13772" xr:uid="{F69DD05A-E370-46E0-99E3-B98E1AAACBC1}"/>
    <cellStyle name="Note 3 4 2 4" xfId="9554" xr:uid="{803FAD84-FF3F-4123-8D0E-0C58B6651E44}"/>
    <cellStyle name="Note 3 4 3" xfId="1435" xr:uid="{00000000-0005-0000-0000-0000D9210000}"/>
    <cellStyle name="Note 3 4 3 2" xfId="3665" xr:uid="{00000000-0005-0000-0000-0000DA210000}"/>
    <cellStyle name="Note 3 4 3 2 2" xfId="7888" xr:uid="{00000000-0005-0000-0000-0000DB210000}"/>
    <cellStyle name="Note 3 4 3 2 2 2" xfId="16330" xr:uid="{99A2662F-C602-43A0-AE00-E5F7F75B804F}"/>
    <cellStyle name="Note 3 4 3 2 3" xfId="12112" xr:uid="{32524A0F-217D-4B4E-A290-74B9127E3DF4}"/>
    <cellStyle name="Note 3 4 3 3" xfId="5743" xr:uid="{00000000-0005-0000-0000-0000DC210000}"/>
    <cellStyle name="Note 3 4 3 3 2" xfId="14185" xr:uid="{2CD0540A-B417-4945-9963-B3ED9E098F80}"/>
    <cellStyle name="Note 3 4 3 4" xfId="9967" xr:uid="{82C3F5E7-EBC1-48B6-9389-BA54D1A6DC61}"/>
    <cellStyle name="Note 3 4 4" xfId="1849" xr:uid="{00000000-0005-0000-0000-0000DD210000}"/>
    <cellStyle name="Note 3 4 4 2" xfId="4078" xr:uid="{00000000-0005-0000-0000-0000DE210000}"/>
    <cellStyle name="Note 3 4 4 2 2" xfId="8301" xr:uid="{00000000-0005-0000-0000-0000DF210000}"/>
    <cellStyle name="Note 3 4 4 2 2 2" xfId="16743" xr:uid="{FD4D4EDC-2291-4A76-AED4-2CA822BDA5DA}"/>
    <cellStyle name="Note 3 4 4 2 3" xfId="12525" xr:uid="{A7FCC5CF-6D44-4929-A33C-12CB3A1F1F55}"/>
    <cellStyle name="Note 3 4 4 3" xfId="6156" xr:uid="{00000000-0005-0000-0000-0000E0210000}"/>
    <cellStyle name="Note 3 4 4 3 2" xfId="14598" xr:uid="{CFAAC2CF-92F7-4C43-813E-56C03559D9A1}"/>
    <cellStyle name="Note 3 4 4 4" xfId="10380" xr:uid="{A546A84B-D6F5-4BD1-9413-0F1EEB6E7B64}"/>
    <cellStyle name="Note 3 4 5" xfId="2262" xr:uid="{00000000-0005-0000-0000-0000E1210000}"/>
    <cellStyle name="Note 3 4 5 2" xfId="4491" xr:uid="{00000000-0005-0000-0000-0000E2210000}"/>
    <cellStyle name="Note 3 4 5 2 2" xfId="8714" xr:uid="{00000000-0005-0000-0000-0000E3210000}"/>
    <cellStyle name="Note 3 4 5 2 2 2" xfId="17156" xr:uid="{DE20FBB7-A377-4FA2-91AB-EBCA595E5BEB}"/>
    <cellStyle name="Note 3 4 5 2 3" xfId="12938" xr:uid="{D7DDDD55-6416-4770-B6C5-2EAEB8B3E0E2}"/>
    <cellStyle name="Note 3 4 5 3" xfId="6569" xr:uid="{00000000-0005-0000-0000-0000E4210000}"/>
    <cellStyle name="Note 3 4 5 3 2" xfId="15011" xr:uid="{E1A36667-2C66-409A-9AF0-A155FC66A297}"/>
    <cellStyle name="Note 3 4 5 4" xfId="10793" xr:uid="{76B1E0C9-8209-42B2-9B29-4CE6EA30BE74}"/>
    <cellStyle name="Note 3 4 6" xfId="2698" xr:uid="{00000000-0005-0000-0000-0000E5210000}"/>
    <cellStyle name="Note 3 4 6 2" xfId="6982" xr:uid="{00000000-0005-0000-0000-0000E6210000}"/>
    <cellStyle name="Note 3 4 6 2 2" xfId="15424" xr:uid="{201AA3F8-723E-41AC-9DE1-8436938CE37C}"/>
    <cellStyle name="Note 3 4 6 3" xfId="11206" xr:uid="{E6E3FD4F-4697-4D1A-B2E3-E48598D00E7C}"/>
    <cellStyle name="Note 3 4 7" xfId="2757" xr:uid="{00000000-0005-0000-0000-0000E7210000}"/>
    <cellStyle name="Note 3 4 8" xfId="2838" xr:uid="{00000000-0005-0000-0000-0000E8210000}"/>
    <cellStyle name="Note 3 4 8 2" xfId="7062" xr:uid="{00000000-0005-0000-0000-0000E9210000}"/>
    <cellStyle name="Note 3 4 8 2 2" xfId="15504" xr:uid="{8D498507-9441-46AC-A200-14EF68680CE1}"/>
    <cellStyle name="Note 3 4 8 3" xfId="11286" xr:uid="{88204FE1-455C-4167-89DA-669AE6194C33}"/>
    <cellStyle name="Note 3 4 9" xfId="4917" xr:uid="{00000000-0005-0000-0000-0000EA210000}"/>
    <cellStyle name="Note 3 4 9 2" xfId="13359" xr:uid="{CBA0AE89-BC5E-4B79-8A5E-2C996D424C03}"/>
    <cellStyle name="Note 3 5" xfId="561" xr:uid="{00000000-0005-0000-0000-0000EB210000}"/>
    <cellStyle name="Note 3 5 10" xfId="9142" xr:uid="{E0B3ED1B-86AE-44BF-B706-CD46701BD23B}"/>
    <cellStyle name="Note 3 5 2" xfId="1021" xr:uid="{00000000-0005-0000-0000-0000EC210000}"/>
    <cellStyle name="Note 3 5 2 2" xfId="3253" xr:uid="{00000000-0005-0000-0000-0000ED210000}"/>
    <cellStyle name="Note 3 5 2 2 2" xfId="7476" xr:uid="{00000000-0005-0000-0000-0000EE210000}"/>
    <cellStyle name="Note 3 5 2 2 2 2" xfId="15918" xr:uid="{F2AD5FDE-05B9-4FB4-8F80-6C511CD580AB}"/>
    <cellStyle name="Note 3 5 2 2 3" xfId="11700" xr:uid="{D987D70A-70BA-4344-8388-E530E0A12C6D}"/>
    <cellStyle name="Note 3 5 2 3" xfId="5331" xr:uid="{00000000-0005-0000-0000-0000EF210000}"/>
    <cellStyle name="Note 3 5 2 3 2" xfId="13773" xr:uid="{D4A7CF40-3EBE-40A1-A78A-AE6CE516FEC8}"/>
    <cellStyle name="Note 3 5 2 4" xfId="9555" xr:uid="{E444C334-56FC-46C4-B2E2-B30CD6DD3372}"/>
    <cellStyle name="Note 3 5 3" xfId="1436" xr:uid="{00000000-0005-0000-0000-0000F0210000}"/>
    <cellStyle name="Note 3 5 3 2" xfId="3666" xr:uid="{00000000-0005-0000-0000-0000F1210000}"/>
    <cellStyle name="Note 3 5 3 2 2" xfId="7889" xr:uid="{00000000-0005-0000-0000-0000F2210000}"/>
    <cellStyle name="Note 3 5 3 2 2 2" xfId="16331" xr:uid="{086DC9C2-39FE-414A-8A96-2E2A9C758535}"/>
    <cellStyle name="Note 3 5 3 2 3" xfId="12113" xr:uid="{03A6AC4C-E33D-422F-AD89-4650234C9DA0}"/>
    <cellStyle name="Note 3 5 3 3" xfId="5744" xr:uid="{00000000-0005-0000-0000-0000F3210000}"/>
    <cellStyle name="Note 3 5 3 3 2" xfId="14186" xr:uid="{2BA5B8EA-E210-448A-BDFB-EE4B5B858857}"/>
    <cellStyle name="Note 3 5 3 4" xfId="9968" xr:uid="{705B5FF4-3532-4352-A05C-B03ABA3CA130}"/>
    <cellStyle name="Note 3 5 4" xfId="1850" xr:uid="{00000000-0005-0000-0000-0000F4210000}"/>
    <cellStyle name="Note 3 5 4 2" xfId="4079" xr:uid="{00000000-0005-0000-0000-0000F5210000}"/>
    <cellStyle name="Note 3 5 4 2 2" xfId="8302" xr:uid="{00000000-0005-0000-0000-0000F6210000}"/>
    <cellStyle name="Note 3 5 4 2 2 2" xfId="16744" xr:uid="{FA24F480-73FD-4873-91DF-1AC27B1D041C}"/>
    <cellStyle name="Note 3 5 4 2 3" xfId="12526" xr:uid="{13B3F33C-8871-40F9-895D-C1F6B716382A}"/>
    <cellStyle name="Note 3 5 4 3" xfId="6157" xr:uid="{00000000-0005-0000-0000-0000F7210000}"/>
    <cellStyle name="Note 3 5 4 3 2" xfId="14599" xr:uid="{982924EC-91F9-4983-8217-EA7215260AB0}"/>
    <cellStyle name="Note 3 5 4 4" xfId="10381" xr:uid="{48D4E8CF-CA18-4626-8D0F-E36788CAD9DC}"/>
    <cellStyle name="Note 3 5 5" xfId="2263" xr:uid="{00000000-0005-0000-0000-0000F8210000}"/>
    <cellStyle name="Note 3 5 5 2" xfId="4492" xr:uid="{00000000-0005-0000-0000-0000F9210000}"/>
    <cellStyle name="Note 3 5 5 2 2" xfId="8715" xr:uid="{00000000-0005-0000-0000-0000FA210000}"/>
    <cellStyle name="Note 3 5 5 2 2 2" xfId="17157" xr:uid="{3BF373FA-C8DC-4F0E-A5EA-71439B45A190}"/>
    <cellStyle name="Note 3 5 5 2 3" xfId="12939" xr:uid="{08B9400E-6866-417D-BDB8-C3602231B1D2}"/>
    <cellStyle name="Note 3 5 5 3" xfId="6570" xr:uid="{00000000-0005-0000-0000-0000FB210000}"/>
    <cellStyle name="Note 3 5 5 3 2" xfId="15012" xr:uid="{E57AA410-4719-48FC-ABC7-BADD7BE465D2}"/>
    <cellStyle name="Note 3 5 5 4" xfId="10794" xr:uid="{79D6DA80-4D29-42A3-8AA0-EB7528B81841}"/>
    <cellStyle name="Note 3 5 6" xfId="2699" xr:uid="{00000000-0005-0000-0000-0000FC210000}"/>
    <cellStyle name="Note 3 5 6 2" xfId="6983" xr:uid="{00000000-0005-0000-0000-0000FD210000}"/>
    <cellStyle name="Note 3 5 6 2 2" xfId="15425" xr:uid="{00EB6630-EEA2-490D-92F0-B29FF8380CB4}"/>
    <cellStyle name="Note 3 5 6 3" xfId="11207" xr:uid="{21DE66F3-F145-4631-83CF-6A164C766DCE}"/>
    <cellStyle name="Note 3 5 7" xfId="2758" xr:uid="{00000000-0005-0000-0000-0000FE210000}"/>
    <cellStyle name="Note 3 5 8" xfId="2839" xr:uid="{00000000-0005-0000-0000-0000FF210000}"/>
    <cellStyle name="Note 3 5 8 2" xfId="7063" xr:uid="{00000000-0005-0000-0000-000000220000}"/>
    <cellStyle name="Note 3 5 8 2 2" xfId="15505" xr:uid="{FEE7231D-DAFB-49F8-ADD5-5880A8267F05}"/>
    <cellStyle name="Note 3 5 8 3" xfId="11287" xr:uid="{331D096B-250F-4F9A-8D4A-B9503BB5BCDA}"/>
    <cellStyle name="Note 3 5 9" xfId="4918" xr:uid="{00000000-0005-0000-0000-000001220000}"/>
    <cellStyle name="Note 3 5 9 2" xfId="13360" xr:uid="{46325A31-AFB7-4DDB-899A-B852F9CF2B6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276963C7-47DA-4540-85BE-26BB3B7182E1}"/>
    <cellStyle name="Percent 4" xfId="4502" xr:uid="{00000000-0005-0000-0000-000007220000}"/>
    <cellStyle name="Percent 4 2" xfId="8718" xr:uid="{00000000-0005-0000-0000-000008220000}"/>
    <cellStyle name="Percent 4 2 2" xfId="17160" xr:uid="{6F6669A3-5837-4F2A-90E6-11654802CBEB}"/>
    <cellStyle name="Percent 4 3" xfId="8721" xr:uid="{D09CD3FC-D632-4B66-A68A-5CC92F993799}"/>
    <cellStyle name="Percent 4 3 2" xfId="8725" xr:uid="{D57AE941-8E59-43F0-AB73-09B3BCCFA234}"/>
    <cellStyle name="Percent 4 3 2 2" xfId="8728" xr:uid="{D24D76A7-D076-4554-9944-551B122393DE}"/>
    <cellStyle name="Percent 4 3 2 3" xfId="17166" xr:uid="{1FFBCE5D-3397-467A-BC5B-69C8C6D7B617}"/>
    <cellStyle name="Percent 4 3 3" xfId="17163" xr:uid="{D68D56CC-3950-4A4F-B26D-6AC711ABBAFD}"/>
    <cellStyle name="Percent 4 4" xfId="12946" xr:uid="{00C62610-37F9-45EC-B0FE-E28121EACE6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U10" sqref="U10"/>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4"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2" t="s">
        <v>2413</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2460</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8" t="str">
        <f>IF(Application!H18="","",Application!H18)</f>
        <v>Treehouse Leimert</v>
      </c>
      <c r="M4" s="2239"/>
      <c r="N4" s="2239"/>
      <c r="O4" s="2239"/>
      <c r="P4" s="2239"/>
      <c r="Q4" s="2239"/>
      <c r="R4" s="2239"/>
      <c r="S4" s="2239"/>
      <c r="T4" s="2239"/>
      <c r="U4" s="2239"/>
      <c r="V4" s="2239"/>
      <c r="W4" s="2239"/>
      <c r="X4" s="2239"/>
      <c r="Y4" s="2239"/>
      <c r="Z4" s="2239"/>
      <c r="AA4" s="2239"/>
      <c r="AB4" s="2239"/>
      <c r="AC4" s="2240"/>
      <c r="AD4" s="1209"/>
      <c r="AE4" s="1209"/>
      <c r="AF4" s="2241" t="s">
        <v>2461</v>
      </c>
      <c r="AG4" s="2241"/>
      <c r="AH4" s="2241"/>
      <c r="AI4" s="2241"/>
      <c r="AJ4" s="2241"/>
      <c r="AK4" s="2241"/>
      <c r="AL4" s="2241"/>
      <c r="AM4" s="2241"/>
      <c r="AN4" s="2241"/>
      <c r="AO4" s="2241"/>
      <c r="AP4" s="2242"/>
      <c r="AQ4" s="2243"/>
      <c r="AR4" s="2243"/>
      <c r="AS4" s="2243"/>
      <c r="AT4" s="2243"/>
      <c r="AU4" s="224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2462</v>
      </c>
      <c r="AG5" s="2241"/>
      <c r="AH5" s="2241"/>
      <c r="AI5" s="2241"/>
      <c r="AJ5" s="2241"/>
      <c r="AK5" s="2241"/>
      <c r="AL5" s="2241"/>
      <c r="AM5" s="2241"/>
      <c r="AN5" s="2241"/>
      <c r="AO5" s="2241"/>
      <c r="AP5" s="2242"/>
      <c r="AQ5" s="2243"/>
      <c r="AR5" s="2243"/>
      <c r="AS5" s="2243"/>
      <c r="AT5" s="2243"/>
      <c r="AU5" s="2243"/>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8" t="str">
        <f>IF(Application!H16="","",Application!H16)</f>
        <v>Butterfly's Haven</v>
      </c>
      <c r="M6" s="2239"/>
      <c r="N6" s="2239"/>
      <c r="O6" s="2239"/>
      <c r="P6" s="2239"/>
      <c r="Q6" s="2239"/>
      <c r="R6" s="2239"/>
      <c r="S6" s="2239"/>
      <c r="T6" s="2239"/>
      <c r="U6" s="2239"/>
      <c r="V6" s="2239"/>
      <c r="W6" s="2239"/>
      <c r="X6" s="2239"/>
      <c r="Y6" s="2239"/>
      <c r="Z6" s="2239"/>
      <c r="AA6" s="2239"/>
      <c r="AB6" s="2239"/>
      <c r="AC6" s="2240"/>
      <c r="AD6" s="1209"/>
      <c r="AE6" s="1209"/>
      <c r="AF6" s="2244" t="s">
        <v>2463</v>
      </c>
      <c r="AG6" s="2244"/>
      <c r="AH6" s="2244"/>
      <c r="AI6" s="2244"/>
      <c r="AJ6" s="2244"/>
      <c r="AK6" s="2244"/>
      <c r="AL6" s="2244"/>
      <c r="AM6" s="2244"/>
      <c r="AN6" s="2244"/>
      <c r="AO6" s="2244"/>
      <c r="AP6" s="2231">
        <v>0</v>
      </c>
      <c r="AQ6" s="2231"/>
      <c r="AR6" s="2231"/>
      <c r="AS6" s="2231"/>
      <c r="AT6" s="2231"/>
      <c r="AU6" s="2231"/>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2464</v>
      </c>
      <c r="AG7" s="2244"/>
      <c r="AH7" s="2244"/>
      <c r="AI7" s="2244"/>
      <c r="AJ7" s="2244"/>
      <c r="AK7" s="2244"/>
      <c r="AL7" s="2244"/>
      <c r="AM7" s="2244"/>
      <c r="AN7" s="2244"/>
      <c r="AO7" s="2244"/>
      <c r="AP7" s="2231">
        <v>0</v>
      </c>
      <c r="AQ7" s="2231"/>
      <c r="AR7" s="2231"/>
      <c r="AS7" s="2231"/>
      <c r="AT7" s="2231"/>
      <c r="AU7" s="2231"/>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2465</v>
      </c>
      <c r="AG8" s="2244"/>
      <c r="AH8" s="2244"/>
      <c r="AI8" s="2244"/>
      <c r="AJ8" s="2244"/>
      <c r="AK8" s="2244"/>
      <c r="AL8" s="2244"/>
      <c r="AM8" s="2244"/>
      <c r="AN8" s="2244"/>
      <c r="AO8" s="2244"/>
      <c r="AP8" s="2231" t="s">
        <v>2417</v>
      </c>
      <c r="AQ8" s="2231"/>
      <c r="AR8" s="2231"/>
      <c r="AS8" s="2231"/>
      <c r="AT8" s="2231"/>
      <c r="AU8" s="2231"/>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2625</v>
      </c>
      <c r="AG9" s="2241"/>
      <c r="AH9" s="2241"/>
      <c r="AI9" s="2241"/>
      <c r="AJ9" s="2241"/>
      <c r="AK9" s="2241"/>
      <c r="AL9" s="2241"/>
      <c r="AM9" s="2241"/>
      <c r="AN9" s="2241"/>
      <c r="AO9" s="2241"/>
      <c r="AP9" s="2242"/>
      <c r="AQ9" s="2243"/>
      <c r="AR9" s="2243"/>
      <c r="AS9" s="2243"/>
      <c r="AT9" s="2243"/>
      <c r="AU9" s="2243"/>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6">
        <f>Application!AO627</f>
        <v>8277000</v>
      </c>
      <c r="O10" s="2256"/>
      <c r="P10" s="2256"/>
      <c r="Q10" s="2256"/>
      <c r="R10" s="2256"/>
      <c r="S10" s="2256"/>
      <c r="T10" s="2256"/>
      <c r="U10" s="1209"/>
      <c r="V10" s="1209"/>
      <c r="W10" s="1209"/>
      <c r="X10" s="1258"/>
      <c r="Y10" s="1258"/>
      <c r="Z10" s="1258"/>
      <c r="AA10" s="1258"/>
      <c r="AB10" s="1258"/>
      <c r="AC10" s="1258"/>
      <c r="AD10" s="1258"/>
      <c r="AE10" s="1258"/>
      <c r="AF10" s="2241" t="s">
        <v>2624</v>
      </c>
      <c r="AG10" s="2241"/>
      <c r="AH10" s="2241"/>
      <c r="AI10" s="2241"/>
      <c r="AJ10" s="2241"/>
      <c r="AK10" s="2241"/>
      <c r="AL10" s="2241"/>
      <c r="AM10" s="2241"/>
      <c r="AN10" s="2241"/>
      <c r="AO10" s="2241"/>
      <c r="AP10" s="2242"/>
      <c r="AQ10" s="2243"/>
      <c r="AR10" s="2243"/>
      <c r="AS10" s="2243"/>
      <c r="AT10" s="2243"/>
      <c r="AU10" s="2243"/>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2623</v>
      </c>
      <c r="AG11" s="2241"/>
      <c r="AH11" s="2241"/>
      <c r="AI11" s="2241"/>
      <c r="AJ11" s="2241"/>
      <c r="AK11" s="2241"/>
      <c r="AL11" s="2241"/>
      <c r="AM11" s="2241"/>
      <c r="AN11" s="2241"/>
      <c r="AO11" s="2241"/>
      <c r="AP11" s="2242"/>
      <c r="AQ11" s="2243"/>
      <c r="AR11" s="2243"/>
      <c r="AS11" s="2243"/>
      <c r="AT11" s="2243"/>
      <c r="AU11" s="2243"/>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263" t="s">
        <v>1794</v>
      </c>
      <c r="C13" s="2264"/>
      <c r="D13" s="2264"/>
      <c r="E13" s="2264"/>
      <c r="F13" s="2264"/>
      <c r="G13" s="2264"/>
      <c r="H13" s="2264"/>
      <c r="I13" s="2264"/>
      <c r="J13" s="2264"/>
      <c r="K13" s="2264"/>
      <c r="L13" s="2264"/>
      <c r="M13" s="2264"/>
      <c r="N13" s="2264"/>
      <c r="O13" s="2264"/>
      <c r="P13" s="2265"/>
      <c r="Q13" s="2266" t="s">
        <v>677</v>
      </c>
      <c r="R13" s="2267"/>
      <c r="S13" s="2267"/>
      <c r="T13" s="2268"/>
      <c r="U13" s="1258"/>
      <c r="V13" s="1209"/>
      <c r="W13" s="1209"/>
      <c r="X13" s="1209"/>
      <c r="Y13" s="1209"/>
      <c r="Z13" s="1209"/>
      <c r="AA13" s="2257" t="s">
        <v>2467</v>
      </c>
      <c r="AB13" s="2257"/>
      <c r="AC13" s="2257"/>
      <c r="AD13" s="2257"/>
      <c r="AE13" s="2257"/>
      <c r="AF13" s="2257"/>
      <c r="AG13" s="2257"/>
      <c r="AH13" s="2257"/>
      <c r="AI13" s="2257"/>
      <c r="AJ13" s="2257"/>
      <c r="AK13" s="2257"/>
      <c r="AL13" s="2257"/>
      <c r="AM13" s="2257"/>
      <c r="AN13" s="2257"/>
      <c r="AO13" s="2258">
        <f>Application!W473</f>
        <v>0</v>
      </c>
      <c r="AP13" s="2259"/>
      <c r="AQ13" s="2259"/>
      <c r="AR13" s="2259"/>
      <c r="AS13" s="2259"/>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2469</v>
      </c>
      <c r="AB14" s="2260"/>
      <c r="AC14" s="2260"/>
      <c r="AD14" s="2260"/>
      <c r="AE14" s="2260"/>
      <c r="AF14" s="2260"/>
      <c r="AG14" s="2260"/>
      <c r="AH14" s="2260"/>
      <c r="AI14" s="2260"/>
      <c r="AJ14" s="2260"/>
      <c r="AK14" s="2260"/>
      <c r="AL14" s="2260"/>
      <c r="AM14" s="2260"/>
      <c r="AN14" s="2260"/>
      <c r="AO14" s="2261"/>
      <c r="AP14" s="2262"/>
      <c r="AQ14" s="2262"/>
      <c r="AR14" s="2262"/>
      <c r="AS14" s="2262"/>
      <c r="AT14" s="1258"/>
      <c r="AU14" s="1258"/>
      <c r="AV14" s="1258"/>
      <c r="AW14" s="1258"/>
      <c r="AX14" s="1258"/>
      <c r="AY14" s="1258"/>
      <c r="AZ14" s="1258"/>
      <c r="BA14" s="1258"/>
      <c r="BB14" s="1258"/>
      <c r="BC14" s="1258"/>
      <c r="BD14" s="1258"/>
      <c r="BE14" s="1205"/>
    </row>
    <row r="15" spans="1:65" ht="16" thickBot="1">
      <c r="A15" s="1209"/>
      <c r="B15" s="2269" t="s">
        <v>1795</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2470</v>
      </c>
      <c r="AB15" s="2257"/>
      <c r="AC15" s="2257"/>
      <c r="AD15" s="2257"/>
      <c r="AE15" s="2257"/>
      <c r="AF15" s="2257"/>
      <c r="AG15" s="2257"/>
      <c r="AH15" s="2257"/>
      <c r="AI15" s="2257"/>
      <c r="AJ15" s="2257"/>
      <c r="AK15" s="2257"/>
      <c r="AL15" s="2257"/>
      <c r="AM15" s="2257"/>
      <c r="AN15" s="2257"/>
      <c r="AO15" s="2261"/>
      <c r="AP15" s="2262"/>
      <c r="AQ15" s="2262"/>
      <c r="AR15" s="2262"/>
      <c r="AS15" s="2262"/>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4" t="s">
        <v>1796</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75" customHeight="1">
      <c r="A18" s="1209"/>
      <c r="B18" s="2277" t="s">
        <v>1797</v>
      </c>
      <c r="C18" s="2278"/>
      <c r="D18" s="2278"/>
      <c r="E18" s="2278"/>
      <c r="F18" s="2278"/>
      <c r="G18" s="2278"/>
      <c r="H18" s="2278"/>
      <c r="I18" s="2279"/>
      <c r="J18" s="2280" t="s">
        <v>1698</v>
      </c>
      <c r="K18" s="2281"/>
      <c r="L18" s="2281"/>
      <c r="M18" s="2281"/>
      <c r="N18" s="2281"/>
      <c r="O18" s="2282"/>
      <c r="P18" s="2280" t="s">
        <v>324</v>
      </c>
      <c r="Q18" s="2281"/>
      <c r="R18" s="2281"/>
      <c r="S18" s="2281"/>
      <c r="T18" s="2281"/>
      <c r="U18" s="2282"/>
      <c r="V18" s="2280" t="s">
        <v>325</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1798</v>
      </c>
      <c r="AU18" s="2281"/>
      <c r="AV18" s="2281"/>
      <c r="AW18" s="2281"/>
      <c r="AX18" s="2281"/>
      <c r="AY18" s="2283"/>
      <c r="AZ18" s="1209"/>
      <c r="BA18" s="1209"/>
      <c r="BB18" s="1209"/>
      <c r="BC18" s="1209"/>
      <c r="BD18" s="1209"/>
      <c r="BE18" s="1205"/>
    </row>
    <row r="19" spans="1:58" ht="15">
      <c r="A19" s="1209"/>
      <c r="B19" s="2284">
        <v>0.3</v>
      </c>
      <c r="C19" s="2285"/>
      <c r="D19" s="2285"/>
      <c r="E19" s="2285"/>
      <c r="F19" s="2285"/>
      <c r="G19" s="2285"/>
      <c r="H19" s="2285"/>
      <c r="I19" s="2286"/>
      <c r="J19" s="2287">
        <f t="shared" ref="J19:J28" si="0">SUM(P19:AS19)</f>
        <v>11</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5</v>
      </c>
      <c r="W19" s="2288"/>
      <c r="X19" s="2288"/>
      <c r="Y19" s="2288"/>
      <c r="Z19" s="2288"/>
      <c r="AA19" s="2289"/>
      <c r="AB19" s="2287" cm="1">
        <f t="array" ref="AB19">SUMPRODUCT((Application!$B$714:$B$738 = 'CalHFA Addendum'!AB$18)*(Application!$AC$714:$AC$738 = 'CalHFA Addendum'!$B19),Application!$G$714:$G$738)</f>
        <v>3</v>
      </c>
      <c r="AC19" s="2288"/>
      <c r="AD19" s="2288"/>
      <c r="AE19" s="2288"/>
      <c r="AF19" s="2288"/>
      <c r="AG19" s="2289"/>
      <c r="AH19" s="2287" cm="1">
        <f t="array" ref="AH19">SUMPRODUCT((Application!$B$714:$B$738 = 'CalHFA Addendum'!AH$18)*(Application!$AC$714:$AC$738 = 'CalHFA Addendum'!$B19),Application!$G$714:$G$738)</f>
        <v>3</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0.13580246913580246</v>
      </c>
      <c r="AU19" s="2291"/>
      <c r="AV19" s="2291"/>
      <c r="AW19" s="2291"/>
      <c r="AX19" s="2291"/>
      <c r="AY19" s="2292"/>
      <c r="AZ19" s="1220"/>
      <c r="BA19" s="1209"/>
      <c r="BB19" s="1209"/>
      <c r="BC19" s="1209"/>
      <c r="BD19" s="1209"/>
      <c r="BE19" s="1205"/>
    </row>
    <row r="20" spans="1:58" ht="1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5">
      <c r="A21" s="1209"/>
      <c r="B21" s="2284">
        <v>0.5</v>
      </c>
      <c r="C21" s="2285"/>
      <c r="D21" s="2285"/>
      <c r="E21" s="2285"/>
      <c r="F21" s="2285"/>
      <c r="G21" s="2285"/>
      <c r="H21" s="2285"/>
      <c r="I21" s="2286"/>
      <c r="J21" s="2287">
        <f t="shared" si="0"/>
        <v>15</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7</v>
      </c>
      <c r="W21" s="2288"/>
      <c r="X21" s="2288"/>
      <c r="Y21" s="2288"/>
      <c r="Z21" s="2288"/>
      <c r="AA21" s="2289"/>
      <c r="AB21" s="2287" cm="1">
        <f t="array" ref="AB21">SUMPRODUCT((Application!$B$714:$B$738 = 'CalHFA Addendum'!AB$18)*(Application!$AC$714:$AC$738 = 'CalHFA Addendum'!$B21),Application!$G$714:$G$738)</f>
        <v>5</v>
      </c>
      <c r="AC21" s="2288"/>
      <c r="AD21" s="2288"/>
      <c r="AE21" s="2288"/>
      <c r="AF21" s="2288"/>
      <c r="AG21" s="2289"/>
      <c r="AH21" s="2287" cm="1">
        <f t="array" ref="AH21">SUMPRODUCT((Application!$B$714:$B$738 = 'CalHFA Addendum'!AH$18)*(Application!$AC$714:$AC$738 = 'CalHFA Addendum'!$B21),Application!$G$714:$G$738)</f>
        <v>3</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0.18518518518518517</v>
      </c>
      <c r="AU21" s="2291"/>
      <c r="AV21" s="2291"/>
      <c r="AW21" s="2291"/>
      <c r="AX21" s="2291"/>
      <c r="AY21" s="2292"/>
      <c r="AZ21" s="1209"/>
      <c r="BA21" s="1209"/>
      <c r="BB21" s="1209"/>
      <c r="BC21" s="1209"/>
      <c r="BD21" s="1209"/>
      <c r="BE21" s="1205"/>
    </row>
    <row r="22" spans="1:58" ht="15">
      <c r="A22" s="1209"/>
      <c r="B22" s="2284">
        <v>0.6</v>
      </c>
      <c r="C22" s="2285"/>
      <c r="D22" s="2285"/>
      <c r="E22" s="2285"/>
      <c r="F22" s="2285"/>
      <c r="G22" s="2285"/>
      <c r="H22" s="2285"/>
      <c r="I22" s="2286"/>
      <c r="J22" s="2287">
        <f t="shared" si="0"/>
        <v>22</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11</v>
      </c>
      <c r="W22" s="2288"/>
      <c r="X22" s="2288"/>
      <c r="Y22" s="2288"/>
      <c r="Z22" s="2288"/>
      <c r="AA22" s="2289"/>
      <c r="AB22" s="2287" cm="1">
        <f t="array" ref="AB22">SUMPRODUCT((Application!$B$714:$B$738 = 'CalHFA Addendum'!AB$18)*(Application!$AC$714:$AC$738 = 'CalHFA Addendum'!$B22),Application!$G$714:$G$738)</f>
        <v>5</v>
      </c>
      <c r="AC22" s="2288"/>
      <c r="AD22" s="2288"/>
      <c r="AE22" s="2288"/>
      <c r="AF22" s="2288"/>
      <c r="AG22" s="2289"/>
      <c r="AH22" s="2287" cm="1">
        <f t="array" ref="AH22">SUMPRODUCT((Application!$B$714:$B$738 = 'CalHFA Addendum'!AH$18)*(Application!$AC$714:$AC$738 = 'CalHFA Addendum'!$B22),Application!$G$714:$G$738)</f>
        <v>6</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0.27160493827160492</v>
      </c>
      <c r="AU22" s="2291"/>
      <c r="AV22" s="2291"/>
      <c r="AW22" s="2291"/>
      <c r="AX22" s="2291"/>
      <c r="AY22" s="2292"/>
      <c r="AZ22" s="1209"/>
      <c r="BA22" s="1209"/>
      <c r="BB22" s="1209"/>
      <c r="BC22" s="1209"/>
      <c r="BD22" s="1209"/>
      <c r="BE22" s="1205"/>
    </row>
    <row r="23" spans="1:58" ht="15">
      <c r="A23" s="1209"/>
      <c r="B23" s="2284">
        <v>0.7</v>
      </c>
      <c r="C23" s="2285"/>
      <c r="D23" s="2285"/>
      <c r="E23" s="2285"/>
      <c r="F23" s="2285"/>
      <c r="G23" s="2285"/>
      <c r="H23" s="2285"/>
      <c r="I23" s="2286"/>
      <c r="J23" s="2287">
        <f t="shared" si="0"/>
        <v>18</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8</v>
      </c>
      <c r="W23" s="2288"/>
      <c r="X23" s="2288"/>
      <c r="Y23" s="2288"/>
      <c r="Z23" s="2288"/>
      <c r="AA23" s="2289"/>
      <c r="AB23" s="2287" cm="1">
        <f t="array" ref="AB23">SUMPRODUCT((Application!$B$714:$B$738 = 'CalHFA Addendum'!AB$18)*(Application!$AC$714:$AC$738 = 'CalHFA Addendum'!$B23),Application!$G$714:$G$738)</f>
        <v>5</v>
      </c>
      <c r="AC23" s="2288"/>
      <c r="AD23" s="2288"/>
      <c r="AE23" s="2288"/>
      <c r="AF23" s="2288"/>
      <c r="AG23" s="2289"/>
      <c r="AH23" s="2287" cm="1">
        <f t="array" ref="AH23">SUMPRODUCT((Application!$B$714:$B$738 = 'CalHFA Addendum'!AH$18)*(Application!$AC$714:$AC$738 = 'CalHFA Addendum'!$B23),Application!$G$714:$G$738)</f>
        <v>5</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0.22222222222222221</v>
      </c>
      <c r="AU23" s="2291"/>
      <c r="AV23" s="2291"/>
      <c r="AW23" s="2291"/>
      <c r="AX23" s="2291"/>
      <c r="AY23" s="2292"/>
      <c r="AZ23" s="1209"/>
      <c r="BA23" s="1209"/>
      <c r="BB23" s="1209"/>
      <c r="BC23" s="1209"/>
      <c r="BD23" s="1209"/>
      <c r="BE23" s="1205"/>
    </row>
    <row r="24" spans="1:58" ht="15">
      <c r="A24" s="1209"/>
      <c r="B24" s="2284">
        <v>0.8</v>
      </c>
      <c r="C24" s="2285"/>
      <c r="D24" s="2285"/>
      <c r="E24" s="2285"/>
      <c r="F24" s="2285"/>
      <c r="G24" s="2285"/>
      <c r="H24" s="2285"/>
      <c r="I24" s="2286"/>
      <c r="J24" s="2287">
        <f t="shared" si="0"/>
        <v>15</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8</v>
      </c>
      <c r="W24" s="2288"/>
      <c r="X24" s="2288"/>
      <c r="Y24" s="2288"/>
      <c r="Z24" s="2288"/>
      <c r="AA24" s="2289"/>
      <c r="AB24" s="2287" cm="1">
        <f t="array" ref="AB24">SUMPRODUCT((Application!$B$714:$B$738 = 'CalHFA Addendum'!AB$18)*(Application!$AC$714:$AC$738 = 'CalHFA Addendum'!$B24),Application!$G$714:$G$738)</f>
        <v>3</v>
      </c>
      <c r="AC24" s="2288"/>
      <c r="AD24" s="2288"/>
      <c r="AE24" s="2288"/>
      <c r="AF24" s="2288"/>
      <c r="AG24" s="2289"/>
      <c r="AH24" s="2287" cm="1">
        <f t="array" ref="AH24">SUMPRODUCT((Application!$B$714:$B$738 = 'CalHFA Addendum'!AH$18)*(Application!$AC$714:$AC$738 = 'CalHFA Addendum'!$B24),Application!$G$714:$G$738)</f>
        <v>4</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0.18518518518518517</v>
      </c>
      <c r="AU24" s="2291"/>
      <c r="AV24" s="2291"/>
      <c r="AW24" s="2291"/>
      <c r="AX24" s="2291"/>
      <c r="AY24" s="2292"/>
      <c r="AZ24" s="1209"/>
      <c r="BA24" s="1209"/>
      <c r="BB24" s="1209"/>
      <c r="BC24" s="1209"/>
      <c r="BD24" s="1209"/>
      <c r="BE24" s="1205"/>
    </row>
    <row r="25" spans="1:58" ht="15">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5">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5">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ht="16" thickBot="1">
      <c r="A28" s="1209"/>
      <c r="B28" s="2303" t="s">
        <v>1799</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ht="16" thickBot="1">
      <c r="A29" s="1209"/>
      <c r="B29" s="2318" t="s">
        <v>1698</v>
      </c>
      <c r="C29" s="2319"/>
      <c r="D29" s="2319"/>
      <c r="E29" s="2319"/>
      <c r="F29" s="2319"/>
      <c r="G29" s="2319"/>
      <c r="H29" s="2319"/>
      <c r="I29" s="2320"/>
      <c r="J29" s="2321">
        <f>SUM(J19:O28)</f>
        <v>81</v>
      </c>
      <c r="K29" s="2319"/>
      <c r="L29" s="2319"/>
      <c r="M29" s="2319"/>
      <c r="N29" s="2319"/>
      <c r="O29" s="2320"/>
      <c r="P29" s="2321">
        <f>SUM(P19:U28)</f>
        <v>0</v>
      </c>
      <c r="Q29" s="2319"/>
      <c r="R29" s="2319"/>
      <c r="S29" s="2319"/>
      <c r="T29" s="2319"/>
      <c r="U29" s="2320"/>
      <c r="V29" s="2321">
        <f>SUM(V19:AA28)</f>
        <v>39</v>
      </c>
      <c r="W29" s="2319"/>
      <c r="X29" s="2319"/>
      <c r="Y29" s="2319"/>
      <c r="Z29" s="2319"/>
      <c r="AA29" s="2320"/>
      <c r="AB29" s="2321">
        <f>SUM(AB19:AG28)</f>
        <v>21</v>
      </c>
      <c r="AC29" s="2319"/>
      <c r="AD29" s="2319"/>
      <c r="AE29" s="2319"/>
      <c r="AF29" s="2319"/>
      <c r="AG29" s="2320"/>
      <c r="AH29" s="2321">
        <f>SUM(AH19:AM28)</f>
        <v>21</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6" t="s">
        <v>1800</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ht="16" thickBot="1">
      <c r="A32" s="1209"/>
      <c r="B32" s="2341" t="s">
        <v>2473</v>
      </c>
      <c r="C32" s="2342"/>
      <c r="D32" s="2342"/>
      <c r="E32" s="2342"/>
      <c r="F32" s="2342"/>
      <c r="G32" s="2342"/>
      <c r="H32" s="2342"/>
      <c r="I32" s="2342"/>
      <c r="J32" s="2312" t="s">
        <v>2474</v>
      </c>
      <c r="K32" s="2313"/>
      <c r="L32" s="2313"/>
      <c r="M32" s="2313"/>
      <c r="N32" s="2312" t="s">
        <v>1801</v>
      </c>
      <c r="O32" s="2313"/>
      <c r="P32" s="2313"/>
      <c r="Q32" s="2315"/>
      <c r="R32" s="2335" t="s">
        <v>1802</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5" customHeight="1">
      <c r="A33" s="1209"/>
      <c r="B33" s="2343"/>
      <c r="C33" s="2344"/>
      <c r="D33" s="2344"/>
      <c r="E33" s="2344"/>
      <c r="F33" s="2344"/>
      <c r="G33" s="2344"/>
      <c r="H33" s="2344"/>
      <c r="I33" s="2344"/>
      <c r="J33" s="2314"/>
      <c r="K33" s="2314"/>
      <c r="L33" s="2314"/>
      <c r="M33" s="2314"/>
      <c r="N33" s="2314"/>
      <c r="O33" s="2314"/>
      <c r="P33" s="2314"/>
      <c r="Q33" s="2316"/>
      <c r="R33" s="2329" t="s">
        <v>1803</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75"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75"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1804</v>
      </c>
      <c r="AT35" s="2300"/>
      <c r="AU35" s="2300"/>
      <c r="AV35" s="2300"/>
      <c r="AW35" s="2300"/>
      <c r="AX35" s="2301"/>
      <c r="AY35" s="2299" t="s">
        <v>1805</v>
      </c>
      <c r="AZ35" s="2300"/>
      <c r="BA35" s="2300"/>
      <c r="BB35" s="2300"/>
      <c r="BC35" s="2300"/>
      <c r="BD35" s="2302"/>
      <c r="BE35" s="1205"/>
    </row>
    <row r="36" spans="1:58" ht="15.75" customHeight="1">
      <c r="A36" s="1209"/>
      <c r="B36" s="2322" t="s">
        <v>1806</v>
      </c>
      <c r="C36" s="2323"/>
      <c r="D36" s="2323"/>
      <c r="E36" s="2323"/>
      <c r="F36" s="2323"/>
      <c r="G36" s="2323"/>
      <c r="H36" s="2323"/>
      <c r="I36" s="2323"/>
      <c r="J36" s="2324" t="s">
        <v>1807</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0.61728395061728392</v>
      </c>
      <c r="AZ36" s="2352"/>
      <c r="BA36" s="2352"/>
      <c r="BB36" s="2352"/>
      <c r="BC36" s="2352"/>
      <c r="BD36" s="2353"/>
      <c r="BE36" s="1205"/>
    </row>
    <row r="37" spans="1:58" ht="15.75" customHeight="1">
      <c r="A37" s="1209"/>
      <c r="B37" s="2322" t="s">
        <v>2475</v>
      </c>
      <c r="C37" s="2323"/>
      <c r="D37" s="2323"/>
      <c r="E37" s="2323"/>
      <c r="F37" s="2323"/>
      <c r="G37" s="2323"/>
      <c r="H37" s="2323"/>
      <c r="I37" s="2323"/>
      <c r="J37" s="2324" t="s">
        <v>1808</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0.12345679012345678</v>
      </c>
      <c r="AZ37" s="2352"/>
      <c r="BA37" s="2352"/>
      <c r="BB37" s="2352"/>
      <c r="BC37" s="2352"/>
      <c r="BD37" s="2353"/>
      <c r="BE37" s="1205"/>
    </row>
    <row r="38" spans="1:58" ht="15.75" customHeight="1">
      <c r="A38" s="1209"/>
      <c r="B38" s="2322" t="s">
        <v>2414</v>
      </c>
      <c r="C38" s="2323"/>
      <c r="D38" s="2323"/>
      <c r="E38" s="2323"/>
      <c r="F38" s="2323"/>
      <c r="G38" s="2323"/>
      <c r="H38" s="2323"/>
      <c r="I38" s="2323"/>
      <c r="J38" s="2324" t="s">
        <v>1809</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5"/>
    </row>
    <row r="39" spans="1:58" ht="15.75" customHeight="1">
      <c r="A39" s="1209"/>
      <c r="B39" s="2322" t="s">
        <v>1810</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5"/>
    </row>
    <row r="40" spans="1:58" ht="15.75" customHeight="1">
      <c r="A40" s="1209"/>
      <c r="B40" s="2322" t="s">
        <v>1810</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5"/>
    </row>
    <row r="41" spans="1:58" ht="15.75" customHeight="1">
      <c r="A41" s="1209"/>
      <c r="B41" s="2322" t="s">
        <v>1811</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5"/>
    </row>
    <row r="42" spans="1:58" ht="15.75" customHeight="1">
      <c r="A42" s="1209"/>
      <c r="B42" s="2322" t="s">
        <v>1811</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75" customHeight="1">
      <c r="A43" s="1209"/>
      <c r="B43" s="2354" t="s">
        <v>1812</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75" customHeight="1">
      <c r="A44" s="1209"/>
      <c r="B44" s="2354" t="s">
        <v>1813</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75" customHeight="1">
      <c r="A45" s="1209"/>
      <c r="B45" s="2354" t="s">
        <v>1814</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75" customHeight="1">
      <c r="A46" s="1209"/>
      <c r="B46" s="2354" t="s">
        <v>1815</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75" customHeight="1" thickBot="1">
      <c r="A47" s="1209"/>
      <c r="B47" s="2368" t="s">
        <v>300</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2" t="s">
        <v>1816</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7" t="s">
        <v>1817</v>
      </c>
      <c r="C51" s="2208"/>
      <c r="D51" s="2208"/>
      <c r="E51" s="2208"/>
      <c r="F51" s="2208"/>
      <c r="G51" s="2208"/>
      <c r="H51" s="2208"/>
      <c r="I51" s="2208"/>
      <c r="J51" s="2208" t="s">
        <v>2477</v>
      </c>
      <c r="K51" s="2208"/>
      <c r="L51" s="2208"/>
      <c r="M51" s="2208"/>
      <c r="N51" s="2208"/>
      <c r="O51" s="2208"/>
      <c r="P51" s="2208"/>
      <c r="Q51" s="2208"/>
      <c r="R51" s="2365" t="s">
        <v>2478</v>
      </c>
      <c r="S51" s="2365"/>
      <c r="T51" s="2365"/>
      <c r="U51" s="2365"/>
      <c r="V51" s="2365"/>
      <c r="W51" s="2365"/>
      <c r="X51" s="2365"/>
      <c r="Y51" s="2365"/>
      <c r="Z51" s="2365" t="s">
        <v>1818</v>
      </c>
      <c r="AA51" s="2365"/>
      <c r="AB51" s="2365"/>
      <c r="AC51" s="2365"/>
      <c r="AD51" s="2365"/>
      <c r="AE51" s="2365"/>
      <c r="AF51" s="2365"/>
      <c r="AG51" s="2365"/>
      <c r="AH51" s="2365" t="s">
        <v>1819</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4" t="s">
        <v>2185</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4" t="s">
        <v>2186</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7" t="s">
        <v>1698</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9" t="s">
        <v>1817</v>
      </c>
      <c r="C59" s="2390"/>
      <c r="D59" s="2390"/>
      <c r="E59" s="2390"/>
      <c r="F59" s="2390"/>
      <c r="G59" s="2390"/>
      <c r="H59" s="2390"/>
      <c r="I59" s="2391"/>
      <c r="J59" s="2275" t="s">
        <v>2479</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75" customHeight="1">
      <c r="A60" s="1209"/>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75" customHeight="1">
      <c r="A61" s="1209"/>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75"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75"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75"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4" t="s">
        <v>1821</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1822</v>
      </c>
      <c r="AD68" s="2468"/>
      <c r="AE68" s="2468"/>
      <c r="AF68" s="2468"/>
      <c r="AG68" s="2468"/>
      <c r="AH68" s="2468"/>
      <c r="AI68" s="2468"/>
      <c r="AJ68" s="2468"/>
      <c r="AK68" s="2468"/>
      <c r="AL68" s="2468"/>
      <c r="AM68" s="2468"/>
      <c r="AN68" s="2468"/>
      <c r="AO68" s="2468"/>
      <c r="AP68" s="2468"/>
      <c r="AQ68" s="2468"/>
      <c r="AR68" s="2468"/>
      <c r="AS68" s="2468"/>
      <c r="AT68" s="2468"/>
      <c r="AU68" s="2468"/>
      <c r="AV68" s="2594" t="s">
        <v>677</v>
      </c>
      <c r="AW68" s="2427"/>
      <c r="AX68" s="2427"/>
      <c r="AY68" s="2427"/>
      <c r="AZ68" s="2427"/>
      <c r="BA68" s="2427"/>
      <c r="BB68" s="2427"/>
      <c r="BC68" s="2428"/>
      <c r="BD68" s="1209"/>
      <c r="BE68" s="1205"/>
      <c r="BM68" s="1254" t="s">
        <v>2480</v>
      </c>
    </row>
    <row r="69" spans="1:65" ht="15.75" customHeight="1" thickTop="1" thickBot="1">
      <c r="A69" s="1209"/>
      <c r="B69" s="2595" t="s">
        <v>1823</v>
      </c>
      <c r="C69" s="2596"/>
      <c r="D69" s="2596"/>
      <c r="E69" s="2596"/>
      <c r="F69" s="2596"/>
      <c r="G69" s="2596"/>
      <c r="H69" s="2596"/>
      <c r="I69" s="2596"/>
      <c r="J69" s="2596"/>
      <c r="K69" s="2596"/>
      <c r="L69" s="2596"/>
      <c r="M69" s="2596"/>
      <c r="N69" s="2596"/>
      <c r="O69" s="2597" t="s">
        <v>1824</v>
      </c>
      <c r="P69" s="2598"/>
      <c r="Q69" s="2598"/>
      <c r="R69" s="2598"/>
      <c r="S69" s="2598"/>
      <c r="T69" s="2598"/>
      <c r="U69" s="2598"/>
      <c r="V69" s="2598"/>
      <c r="W69" s="2598"/>
      <c r="X69" s="2598"/>
      <c r="Y69" s="2598"/>
      <c r="Z69" s="2598"/>
      <c r="AA69" s="2599"/>
      <c r="AB69" s="1209"/>
      <c r="AC69" s="2600" t="s">
        <v>1825</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553</v>
      </c>
    </row>
    <row r="70" spans="1:65" ht="15.75" customHeight="1">
      <c r="A70" s="1209"/>
      <c r="B70" s="2322" t="s">
        <v>2481</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1826</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677</v>
      </c>
    </row>
    <row r="71" spans="1:65" ht="15.75" customHeight="1" thickBot="1">
      <c r="A71" s="1209"/>
      <c r="B71" s="2322" t="s">
        <v>2482</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1827</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2483</v>
      </c>
    </row>
    <row r="72" spans="1:65" ht="15.75" customHeight="1">
      <c r="A72" s="1209"/>
      <c r="B72" s="2322" t="s">
        <v>2484</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2485</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75" customHeight="1">
      <c r="A73" s="1209"/>
      <c r="B73" s="2354" t="s">
        <v>2486</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9"/>
      <c r="AC73" s="2395" t="s">
        <v>2187</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7"/>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5" t="s">
        <v>2553</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2" t="s">
        <v>2170</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2620</v>
      </c>
      <c r="AK83" s="2249"/>
      <c r="AL83" s="2249"/>
      <c r="AM83" s="2249"/>
      <c r="AN83" s="2249"/>
      <c r="AO83" s="2249"/>
      <c r="AP83" s="2249"/>
      <c r="AQ83" s="2249"/>
      <c r="AR83" s="2249"/>
      <c r="AS83" s="2249"/>
      <c r="AT83" s="2249"/>
      <c r="AU83" s="2249"/>
      <c r="AV83" s="2249"/>
      <c r="AW83" s="2249"/>
      <c r="AX83" s="2249"/>
      <c r="AY83" s="2252" t="s">
        <v>553</v>
      </c>
      <c r="AZ83" s="2252"/>
      <c r="BA83" s="2252"/>
      <c r="BB83" s="2253"/>
      <c r="BC83" s="1209"/>
      <c r="BD83" s="1209"/>
      <c r="BE83" s="1205"/>
    </row>
    <row r="84" spans="1:70" ht="15.75" customHeight="1">
      <c r="A84" s="1209"/>
      <c r="B84" s="2207"/>
      <c r="C84" s="2208"/>
      <c r="D84" s="2208"/>
      <c r="E84" s="2208"/>
      <c r="F84" s="2208"/>
      <c r="G84" s="2208"/>
      <c r="H84" s="2208"/>
      <c r="I84" s="2208" t="s">
        <v>1828</v>
      </c>
      <c r="J84" s="2208"/>
      <c r="K84" s="2208"/>
      <c r="L84" s="2208"/>
      <c r="M84" s="2208"/>
      <c r="N84" s="2208"/>
      <c r="O84" s="2208" t="s">
        <v>1829</v>
      </c>
      <c r="P84" s="2208"/>
      <c r="Q84" s="2208"/>
      <c r="R84" s="2208"/>
      <c r="S84" s="2208"/>
      <c r="T84" s="2208"/>
      <c r="U84" s="2208"/>
      <c r="V84" s="2204" t="s">
        <v>2188</v>
      </c>
      <c r="W84" s="2204"/>
      <c r="X84" s="2204"/>
      <c r="Y84" s="2204"/>
      <c r="Z84" s="2204"/>
      <c r="AA84" s="2204"/>
      <c r="AB84" s="2205" t="s">
        <v>1830</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75"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75" customHeight="1">
      <c r="A86" s="1209"/>
      <c r="B86" s="2207" t="s">
        <v>2171</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75" customHeight="1">
      <c r="A87" s="1209"/>
      <c r="B87" s="2207" t="s">
        <v>2172</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2487</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75" customHeight="1" thickBot="1">
      <c r="A88" s="1209"/>
      <c r="B88" s="2227" t="s">
        <v>1831</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8"/>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5" t="s">
        <v>2553</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2" t="s">
        <v>2617</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2616</v>
      </c>
      <c r="AK96" s="2249"/>
      <c r="AL96" s="2249"/>
      <c r="AM96" s="2249"/>
      <c r="AN96" s="2249"/>
      <c r="AO96" s="2249"/>
      <c r="AP96" s="2249"/>
      <c r="AQ96" s="2249"/>
      <c r="AR96" s="2249"/>
      <c r="AS96" s="2249"/>
      <c r="AT96" s="2249"/>
      <c r="AU96" s="2249"/>
      <c r="AV96" s="2249"/>
      <c r="AW96" s="2249"/>
      <c r="AX96" s="2249"/>
      <c r="AY96" s="2252" t="s">
        <v>553</v>
      </c>
      <c r="AZ96" s="2252"/>
      <c r="BA96" s="2252"/>
      <c r="BB96" s="2253"/>
      <c r="BC96" s="1209"/>
      <c r="BD96" s="1209"/>
      <c r="BE96" s="1205"/>
      <c r="BQ96" s="1248" t="str">
        <f>Application!M243</f>
        <v>Butterfly's Haven</v>
      </c>
      <c r="BR96" s="1248">
        <f>Application!AH245</f>
        <v>0</v>
      </c>
    </row>
    <row r="97" spans="1:70" ht="15.75" customHeight="1">
      <c r="A97" s="1209"/>
      <c r="B97" s="2207"/>
      <c r="C97" s="2208"/>
      <c r="D97" s="2208"/>
      <c r="E97" s="2208"/>
      <c r="F97" s="2208"/>
      <c r="G97" s="2208"/>
      <c r="H97" s="2208"/>
      <c r="I97" s="2208" t="s">
        <v>1828</v>
      </c>
      <c r="J97" s="2208"/>
      <c r="K97" s="2208"/>
      <c r="L97" s="2208"/>
      <c r="M97" s="2208"/>
      <c r="N97" s="2208"/>
      <c r="O97" s="2208" t="s">
        <v>1829</v>
      </c>
      <c r="P97" s="2208"/>
      <c r="Q97" s="2208"/>
      <c r="R97" s="2208"/>
      <c r="S97" s="2208"/>
      <c r="T97" s="2208"/>
      <c r="U97" s="2208"/>
      <c r="V97" s="2204" t="s">
        <v>2188</v>
      </c>
      <c r="W97" s="2204"/>
      <c r="X97" s="2204"/>
      <c r="Y97" s="2204"/>
      <c r="Z97" s="2204"/>
      <c r="AA97" s="2204"/>
      <c r="AB97" s="2205" t="s">
        <v>1830</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f>Application!M251</f>
        <v>0</v>
      </c>
      <c r="BR97" s="1248">
        <f>Application!AH253</f>
        <v>0</v>
      </c>
    </row>
    <row r="98" spans="1:70" ht="15.75"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f>Application!M259</f>
        <v>0</v>
      </c>
      <c r="BR98" s="1248">
        <f>Application!AH261</f>
        <v>0</v>
      </c>
    </row>
    <row r="99" spans="1:70" ht="15.75" customHeight="1">
      <c r="A99" s="1209"/>
      <c r="B99" s="2207" t="s">
        <v>2171</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75" customHeight="1">
      <c r="A100" s="1209"/>
      <c r="B100" s="2207" t="s">
        <v>2172</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2487</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75" customHeight="1" thickBot="1">
      <c r="A101" s="1209"/>
      <c r="B101" s="2227" t="s">
        <v>1831</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7" t="s">
        <v>2613</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1828</v>
      </c>
      <c r="J108" s="2208"/>
      <c r="K108" s="2208"/>
      <c r="L108" s="2208"/>
      <c r="M108" s="2208"/>
      <c r="N108" s="2208"/>
      <c r="O108" s="2208" t="s">
        <v>1829</v>
      </c>
      <c r="P108" s="2208"/>
      <c r="Q108" s="2208"/>
      <c r="R108" s="2208"/>
      <c r="S108" s="2208"/>
      <c r="T108" s="2208"/>
      <c r="U108" s="2208"/>
      <c r="V108" s="2204" t="s">
        <v>2188</v>
      </c>
      <c r="W108" s="2204"/>
      <c r="X108" s="2204"/>
      <c r="Y108" s="2204"/>
      <c r="Z108" s="2204"/>
      <c r="AA108" s="2204"/>
      <c r="AB108" s="2205" t="s">
        <v>1830</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7" t="s">
        <v>2171</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7" t="s">
        <v>2172</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7" t="s">
        <v>1831</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6"/>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8" t="s">
        <v>2488</v>
      </c>
      <c r="C117" s="2249"/>
      <c r="D117" s="2249"/>
      <c r="E117" s="2249"/>
      <c r="F117" s="2249"/>
      <c r="G117" s="2249"/>
      <c r="H117" s="2249"/>
      <c r="I117" s="2249"/>
      <c r="J117" s="2249"/>
      <c r="K117" s="2249"/>
      <c r="L117" s="2249"/>
      <c r="M117" s="2249"/>
      <c r="N117" s="2249"/>
      <c r="O117" s="2249"/>
      <c r="P117" s="2249"/>
      <c r="Q117" s="2252" t="s">
        <v>553</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1" t="s">
        <v>2189</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2173</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75" customHeight="1">
      <c r="A126" s="1209"/>
      <c r="B126" s="2412" t="s">
        <v>1688</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75" customHeight="1">
      <c r="A127" s="1209"/>
      <c r="B127" s="2415"/>
      <c r="C127" s="2416"/>
      <c r="D127" s="2416"/>
      <c r="E127" s="2416"/>
      <c r="F127" s="2416"/>
      <c r="G127" s="2416"/>
      <c r="H127" s="2416"/>
      <c r="I127" s="2208" t="s">
        <v>2174</v>
      </c>
      <c r="J127" s="2208"/>
      <c r="K127" s="2208"/>
      <c r="L127" s="2208"/>
      <c r="M127" s="2208"/>
      <c r="N127" s="2208"/>
      <c r="O127" s="2417" t="s">
        <v>2175</v>
      </c>
      <c r="P127" s="2417"/>
      <c r="Q127" s="2417"/>
      <c r="R127" s="2417"/>
      <c r="S127" s="2417"/>
      <c r="T127" s="2417"/>
      <c r="U127" s="2418"/>
      <c r="V127" s="1209"/>
      <c r="W127" s="1209"/>
      <c r="X127" s="2395" t="s">
        <v>2187</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21" t="s">
        <v>2176</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23" t="s">
        <v>2177</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274" t="s">
        <v>1834</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415"/>
      <c r="C134" s="2416"/>
      <c r="D134" s="2416"/>
      <c r="E134" s="2416"/>
      <c r="F134" s="2416"/>
      <c r="G134" s="2416"/>
      <c r="H134" s="2416"/>
      <c r="I134" s="2439" t="s">
        <v>1829</v>
      </c>
      <c r="J134" s="2439"/>
      <c r="K134" s="2439"/>
      <c r="L134" s="2439"/>
      <c r="M134" s="2439"/>
      <c r="N134" s="2439"/>
      <c r="O134" s="2439"/>
      <c r="P134" s="2439" t="s">
        <v>2188</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21" t="s">
        <v>2176</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23" t="s">
        <v>2177</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1835</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553</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1836</v>
      </c>
      <c r="C140" s="2430"/>
      <c r="D140" s="2430"/>
      <c r="E140" s="2430"/>
      <c r="F140" s="2430"/>
      <c r="G140" s="2430"/>
      <c r="H140" s="2430"/>
      <c r="I140" s="2430"/>
      <c r="J140" s="2430"/>
      <c r="K140" s="2430"/>
      <c r="L140" s="2430"/>
      <c r="M140" s="2430"/>
      <c r="N140" s="2430"/>
      <c r="O140" s="2430"/>
      <c r="P140" s="2430"/>
      <c r="Q140" s="2430"/>
      <c r="R140" s="2431" t="s">
        <v>2190</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250</v>
      </c>
      <c r="BD140" s="1209"/>
      <c r="BE140" s="1205"/>
    </row>
    <row r="141" spans="1:57" ht="15.75" customHeight="1">
      <c r="A141" s="1209"/>
      <c r="B141" s="2433" t="s">
        <v>2191</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2" t="s">
        <v>1838</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2193</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39" t="s">
        <v>1829</v>
      </c>
      <c r="J155" s="2439"/>
      <c r="K155" s="2439"/>
      <c r="L155" s="2439"/>
      <c r="M155" s="2439"/>
      <c r="N155" s="2439"/>
      <c r="O155" s="2439"/>
      <c r="P155" s="2439" t="s">
        <v>2194</v>
      </c>
      <c r="Q155" s="2439"/>
      <c r="R155" s="2439"/>
      <c r="S155" s="2439"/>
      <c r="T155" s="2439"/>
      <c r="U155" s="2440"/>
      <c r="V155" s="1209"/>
      <c r="W155" s="1209"/>
      <c r="X155" s="2415"/>
      <c r="Y155" s="2416"/>
      <c r="Z155" s="2416"/>
      <c r="AA155" s="2416"/>
      <c r="AB155" s="2416"/>
      <c r="AC155" s="2416"/>
      <c r="AD155" s="2416"/>
      <c r="AE155" s="2439" t="s">
        <v>1829</v>
      </c>
      <c r="AF155" s="2439"/>
      <c r="AG155" s="2439"/>
      <c r="AH155" s="2439"/>
      <c r="AI155" s="2439"/>
      <c r="AJ155" s="2439"/>
      <c r="AK155" s="2439"/>
      <c r="AL155" s="2439" t="s">
        <v>2188</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2176</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9"/>
      <c r="W157" s="1209"/>
      <c r="X157" s="2423" t="s">
        <v>2176</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2177</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2" t="s">
        <v>2178</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1839</v>
      </c>
      <c r="D161" s="2416"/>
      <c r="E161" s="2416"/>
      <c r="F161" s="2416"/>
      <c r="G161" s="2416"/>
      <c r="H161" s="2416"/>
      <c r="I161" s="2416"/>
      <c r="J161" s="2416"/>
      <c r="K161" s="2416"/>
      <c r="L161" s="2416"/>
      <c r="M161" s="2416"/>
      <c r="N161" s="2416"/>
      <c r="O161" s="2416"/>
      <c r="P161" s="2416"/>
      <c r="Q161" s="2416" t="s">
        <v>1840</v>
      </c>
      <c r="R161" s="2416"/>
      <c r="S161" s="2416"/>
      <c r="T161" s="2205" t="s">
        <v>2179</v>
      </c>
      <c r="U161" s="2205"/>
      <c r="V161" s="2205"/>
      <c r="W161" s="2205"/>
      <c r="X161" s="2205"/>
      <c r="Y161" s="2205"/>
      <c r="Z161" s="2205"/>
      <c r="AA161" s="2205"/>
      <c r="AB161" s="2416" t="s">
        <v>1841</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2" t="s">
        <v>1842</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2" t="s">
        <v>1843</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2" t="s">
        <v>1844</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2" t="s">
        <v>1815</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2" t="s">
        <v>169</v>
      </c>
      <c r="D166" s="2443"/>
      <c r="E166" s="2443"/>
      <c r="F166" s="2449" t="s">
        <v>1845</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2" t="s">
        <v>169</v>
      </c>
      <c r="D167" s="2443"/>
      <c r="E167" s="2443"/>
      <c r="F167" s="2449" t="s">
        <v>1845</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0" t="s">
        <v>169</v>
      </c>
      <c r="D168" s="2451"/>
      <c r="E168" s="2451"/>
      <c r="F168" s="2452" t="s">
        <v>1845</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7" t="s">
        <v>1846</v>
      </c>
      <c r="D170" s="2468"/>
      <c r="E170" s="2468"/>
      <c r="F170" s="2468"/>
      <c r="G170" s="2468"/>
      <c r="H170" s="2468"/>
      <c r="I170" s="2468"/>
      <c r="J170" s="2468"/>
      <c r="K170" s="2468"/>
      <c r="L170" s="2468"/>
      <c r="M170" s="2468"/>
      <c r="N170" s="2469"/>
      <c r="O170" s="1209"/>
      <c r="P170" s="2425" t="s">
        <v>1847</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1848</v>
      </c>
      <c r="D171" s="2416"/>
      <c r="E171" s="2416"/>
      <c r="F171" s="2416"/>
      <c r="G171" s="2416"/>
      <c r="H171" s="2416"/>
      <c r="I171" s="2416" t="s">
        <v>1849</v>
      </c>
      <c r="J171" s="2416"/>
      <c r="K171" s="2416"/>
      <c r="L171" s="2416"/>
      <c r="M171" s="2416"/>
      <c r="N171" s="2441"/>
      <c r="O171" s="1209"/>
      <c r="P171" s="2395" t="s">
        <v>2187</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c r="D172" s="2371"/>
      <c r="E172" s="2371"/>
      <c r="F172" s="2371"/>
      <c r="G172" s="2371"/>
      <c r="H172" s="2371"/>
      <c r="I172" s="2445"/>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c r="D173" s="2371"/>
      <c r="E173" s="2371"/>
      <c r="F173" s="2371"/>
      <c r="G173" s="2371"/>
      <c r="H173" s="2371"/>
      <c r="I173" s="2445"/>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1" t="s">
        <v>2489</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2606</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2627</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9"/>
      <c r="B182" s="1209"/>
      <c r="C182" s="2467" t="s">
        <v>1839</v>
      </c>
      <c r="D182" s="2468"/>
      <c r="E182" s="2468"/>
      <c r="F182" s="2468"/>
      <c r="G182" s="2468"/>
      <c r="H182" s="2468"/>
      <c r="I182" s="2468"/>
      <c r="J182" s="2468"/>
      <c r="K182" s="2468"/>
      <c r="L182" s="2468"/>
      <c r="M182" s="2468"/>
      <c r="N182" s="2468" t="s">
        <v>1850</v>
      </c>
      <c r="O182" s="2468"/>
      <c r="P182" s="2468"/>
      <c r="Q182" s="2468"/>
      <c r="R182" s="2468"/>
      <c r="S182" s="2468"/>
      <c r="T182" s="2468"/>
      <c r="U182" s="2363" t="s">
        <v>1839</v>
      </c>
      <c r="V182" s="2363"/>
      <c r="W182" s="2363"/>
      <c r="X182" s="2363"/>
      <c r="Y182" s="2363"/>
      <c r="Z182" s="2363"/>
      <c r="AA182" s="2363"/>
      <c r="AB182" s="2363"/>
      <c r="AC182" s="2363"/>
      <c r="AD182" s="2363"/>
      <c r="AE182" s="2364"/>
      <c r="AF182" s="1209"/>
      <c r="AG182" s="1209"/>
      <c r="AH182" s="2220" t="s">
        <v>2611</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9"/>
      <c r="B183" s="1209"/>
      <c r="C183" s="2210" t="s">
        <v>2490</v>
      </c>
      <c r="D183" s="2211"/>
      <c r="E183" s="2211"/>
      <c r="F183" s="2211"/>
      <c r="G183" s="2211"/>
      <c r="H183" s="2211"/>
      <c r="I183" s="2211"/>
      <c r="J183" s="2211"/>
      <c r="K183" s="2211"/>
      <c r="L183" s="2211"/>
      <c r="M183" s="2211"/>
      <c r="N183" s="2473">
        <f>'Sources and Uses Budget'!B105</f>
        <v>58392816</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2610</v>
      </c>
      <c r="AI183" s="2220"/>
      <c r="AJ183" s="2220"/>
      <c r="AK183" s="2220"/>
      <c r="AL183" s="2220"/>
      <c r="AM183" s="2220"/>
      <c r="AN183" s="2220"/>
      <c r="AO183" s="2220"/>
      <c r="AP183" s="2220"/>
      <c r="AQ183" s="2220"/>
      <c r="AR183" s="2220"/>
      <c r="AS183" s="2220"/>
      <c r="AT183" s="2220"/>
      <c r="AU183" s="2187">
        <f>MAX(0,Application!AG439-100)*20000</f>
        <v>0</v>
      </c>
      <c r="AV183" s="2187"/>
      <c r="AW183" s="2187"/>
      <c r="AX183" s="2187"/>
      <c r="AY183" s="2187"/>
      <c r="AZ183" s="2187"/>
      <c r="BA183" s="2187"/>
      <c r="BB183" s="2187"/>
      <c r="BC183" s="2191"/>
      <c r="BD183" s="2192"/>
      <c r="BE183" s="2193"/>
    </row>
    <row r="184" spans="1:57" ht="15.75" customHeight="1">
      <c r="A184" s="1209"/>
      <c r="B184" s="1209"/>
      <c r="C184" s="2210" t="s">
        <v>2491</v>
      </c>
      <c r="D184" s="2211"/>
      <c r="E184" s="2211"/>
      <c r="F184" s="2211"/>
      <c r="G184" s="2211"/>
      <c r="H184" s="2211"/>
      <c r="I184" s="2211"/>
      <c r="J184" s="2211"/>
      <c r="K184" s="2211"/>
      <c r="L184" s="2211"/>
      <c r="M184" s="2211"/>
      <c r="N184" s="2473">
        <f>N183/J29</f>
        <v>720898.96296296292</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2609</v>
      </c>
      <c r="AI184" s="2197"/>
      <c r="AJ184" s="2197"/>
      <c r="AK184" s="2197"/>
      <c r="AL184" s="2197"/>
      <c r="AM184" s="2197"/>
      <c r="AN184" s="2197"/>
      <c r="AO184" s="2197"/>
      <c r="AP184" s="2197"/>
      <c r="AQ184" s="2197"/>
      <c r="AR184" s="2197"/>
      <c r="AS184" s="2197"/>
      <c r="AT184" s="2197"/>
      <c r="AU184" s="2188">
        <f>AU182+AU183</f>
        <v>2500000</v>
      </c>
      <c r="AV184" s="2188"/>
      <c r="AW184" s="2188"/>
      <c r="AX184" s="2188"/>
      <c r="AY184" s="2188"/>
      <c r="AZ184" s="2188"/>
      <c r="BA184" s="2188"/>
      <c r="BB184" s="2188"/>
      <c r="BC184" s="2191"/>
      <c r="BD184" s="2192"/>
      <c r="BE184" s="2193"/>
    </row>
    <row r="185" spans="1:57" ht="15.75" customHeight="1">
      <c r="A185" s="1209"/>
      <c r="B185" s="1209"/>
      <c r="C185" s="2476" t="s">
        <v>2492</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2608</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9"/>
      <c r="B186" s="1209"/>
      <c r="C186" s="2210" t="s">
        <v>2493</v>
      </c>
      <c r="D186" s="2211"/>
      <c r="E186" s="2211"/>
      <c r="F186" s="2211"/>
      <c r="G186" s="2211"/>
      <c r="H186" s="2211"/>
      <c r="I186" s="2211"/>
      <c r="J186" s="2211"/>
      <c r="K186" s="2211"/>
      <c r="L186" s="2211"/>
      <c r="M186" s="2211"/>
      <c r="N186" s="2472">
        <f>SUM('Sources and Uses Budget'!B85:B86)</f>
        <v>1599000</v>
      </c>
      <c r="O186" s="2472"/>
      <c r="P186" s="2472"/>
      <c r="Q186" s="2472"/>
      <c r="R186" s="2472"/>
      <c r="S186" s="2472"/>
      <c r="T186" s="2472"/>
      <c r="U186" s="2380"/>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0" t="s">
        <v>2494</v>
      </c>
      <c r="D187" s="2211"/>
      <c r="E187" s="2211"/>
      <c r="F187" s="2211"/>
      <c r="G187" s="2211"/>
      <c r="H187" s="2211"/>
      <c r="I187" s="2211"/>
      <c r="J187" s="2211"/>
      <c r="K187" s="2211"/>
      <c r="L187" s="2211"/>
      <c r="M187" s="2211"/>
      <c r="N187" s="2472">
        <f>'Sources and Uses Budget'!B8</f>
        <v>4725000</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1851</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9"/>
      <c r="B188" s="1209"/>
      <c r="C188" s="2210" t="s">
        <v>2495</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1851</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9"/>
      <c r="B189" s="1209"/>
      <c r="C189" s="2210" t="s">
        <v>2496</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2607</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9"/>
      <c r="B190" s="1209"/>
      <c r="C190" s="2513" t="s">
        <v>300</v>
      </c>
      <c r="D190" s="2444"/>
      <c r="E190" s="2512" t="s">
        <v>1845</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2606</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9"/>
      <c r="B191" s="1209"/>
      <c r="C191" s="2401" t="s">
        <v>300</v>
      </c>
      <c r="D191" s="2371"/>
      <c r="E191" s="2512" t="s">
        <v>1845</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75" customHeight="1" thickBot="1">
      <c r="A192" s="1209"/>
      <c r="B192" s="1209"/>
      <c r="C192" s="2501" t="s">
        <v>300</v>
      </c>
      <c r="D192" s="2502"/>
      <c r="E192" s="2503" t="s">
        <v>1845</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1852</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75" customHeight="1">
      <c r="A193" s="1209"/>
      <c r="B193" s="1209"/>
      <c r="C193" s="2497" t="s">
        <v>1853</v>
      </c>
      <c r="D193" s="2498"/>
      <c r="E193" s="2498"/>
      <c r="F193" s="2498"/>
      <c r="G193" s="2498"/>
      <c r="H193" s="2498"/>
      <c r="I193" s="2498"/>
      <c r="J193" s="2498"/>
      <c r="K193" s="2498"/>
      <c r="L193" s="2498"/>
      <c r="M193" s="2498"/>
      <c r="N193" s="2499">
        <f>SUM(N185:T192)</f>
        <v>6324000</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2605</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9"/>
      <c r="B194" s="1209"/>
      <c r="C194" s="2540" t="s">
        <v>2497</v>
      </c>
      <c r="D194" s="2541"/>
      <c r="E194" s="2541"/>
      <c r="F194" s="2541"/>
      <c r="G194" s="2541"/>
      <c r="H194" s="2541"/>
      <c r="I194" s="2541"/>
      <c r="J194" s="2541"/>
      <c r="K194" s="2541"/>
      <c r="L194" s="2541"/>
      <c r="M194" s="2541"/>
      <c r="N194" s="2542">
        <f>(N183-N193)/J29</f>
        <v>642824.88888888888</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0" t="s">
        <v>2604</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0" t="s">
        <v>2603</v>
      </c>
      <c r="D198" s="2200"/>
      <c r="E198" s="2200"/>
      <c r="F198" s="2200"/>
      <c r="G198" s="2200"/>
      <c r="H198" s="2200"/>
      <c r="I198" s="2200"/>
      <c r="J198" s="2200"/>
      <c r="K198" s="2200"/>
      <c r="L198" s="2200"/>
      <c r="M198" s="2200"/>
      <c r="N198" s="2200"/>
      <c r="O198" s="2201" t="s">
        <v>2602</v>
      </c>
      <c r="P198" s="2201"/>
      <c r="Q198" s="2201"/>
      <c r="R198" s="2201"/>
      <c r="S198" s="2201"/>
      <c r="T198" s="2201"/>
      <c r="U198" s="2201"/>
      <c r="V198" s="2201"/>
      <c r="W198" s="2201"/>
      <c r="X198" s="2201" t="s">
        <v>2601</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8" t="s">
        <v>2600</v>
      </c>
      <c r="D199" s="2198"/>
      <c r="E199" s="2198"/>
      <c r="F199" s="2198"/>
      <c r="G199" s="2198"/>
      <c r="H199" s="2198"/>
      <c r="I199" s="2198"/>
      <c r="J199" s="2198"/>
      <c r="K199" s="2198"/>
      <c r="L199" s="2198"/>
      <c r="M199" s="2198"/>
      <c r="N199" s="2198"/>
      <c r="O199" s="2493" t="s">
        <v>2599</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8" t="s">
        <v>865</v>
      </c>
      <c r="D200" s="2198"/>
      <c r="E200" s="2198"/>
      <c r="F200" s="2198"/>
      <c r="G200" s="2198"/>
      <c r="H200" s="2198"/>
      <c r="I200" s="2198"/>
      <c r="J200" s="2198"/>
      <c r="K200" s="2198"/>
      <c r="L200" s="2198"/>
      <c r="M200" s="2198"/>
      <c r="N200" s="2198"/>
      <c r="O200" s="2493" t="s">
        <v>2599</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8" t="s">
        <v>2598</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2597</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9" t="s">
        <v>2596</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5" t="s">
        <v>2595</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8" t="s">
        <v>2594</v>
      </c>
      <c r="D205" s="2519"/>
      <c r="E205" s="2519"/>
      <c r="F205" s="2520"/>
      <c r="G205" s="2524" t="s">
        <v>2593</v>
      </c>
      <c r="H205" s="2519"/>
      <c r="I205" s="2519"/>
      <c r="J205" s="2519"/>
      <c r="K205" s="2519"/>
      <c r="L205" s="2519"/>
      <c r="M205" s="2519"/>
      <c r="N205" s="2519"/>
      <c r="O205" s="2520"/>
      <c r="P205" s="2526" t="s">
        <v>2592</v>
      </c>
      <c r="Q205" s="2527"/>
      <c r="R205" s="2527"/>
      <c r="S205" s="2527"/>
      <c r="T205" s="2528"/>
      <c r="U205" s="2532" t="s">
        <v>2591</v>
      </c>
      <c r="V205" s="2533"/>
      <c r="W205" s="2533"/>
      <c r="X205" s="2534"/>
      <c r="Y205" s="2532" t="s">
        <v>2590</v>
      </c>
      <c r="Z205" s="2533"/>
      <c r="AA205" s="2533"/>
      <c r="AB205" s="2534"/>
      <c r="AC205" s="2532" t="s">
        <v>2589</v>
      </c>
      <c r="AD205" s="2533"/>
      <c r="AE205" s="2533"/>
      <c r="AF205" s="2534"/>
      <c r="AG205" s="2524" t="s">
        <v>2588</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7">
        <v>1</v>
      </c>
      <c r="D207" s="2178"/>
      <c r="E207" s="2178"/>
      <c r="F207" s="2178"/>
      <c r="G207" s="2179" t="s">
        <v>2154</v>
      </c>
      <c r="H207" s="2179"/>
      <c r="I207" s="2179"/>
      <c r="J207" s="2179"/>
      <c r="K207" s="2179"/>
      <c r="L207" s="2179"/>
      <c r="M207" s="2179"/>
      <c r="N207" s="2179"/>
      <c r="O207" s="2179"/>
      <c r="P207" s="2180"/>
      <c r="Q207" s="2584"/>
      <c r="R207" s="2584"/>
      <c r="S207" s="2584"/>
      <c r="T207" s="2584"/>
      <c r="U207" s="2181" t="s">
        <v>2154</v>
      </c>
      <c r="V207" s="2181"/>
      <c r="W207" s="2181"/>
      <c r="X207" s="2181"/>
      <c r="Y207" s="2181" t="s">
        <v>2154</v>
      </c>
      <c r="Z207" s="2181"/>
      <c r="AA207" s="2181"/>
      <c r="AB207" s="2181"/>
      <c r="AC207" s="2182" t="s">
        <v>2154</v>
      </c>
      <c r="AD207" s="2182"/>
      <c r="AE207" s="2182"/>
      <c r="AF207" s="2182"/>
      <c r="AG207" s="2576"/>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7">
        <v>2</v>
      </c>
      <c r="D208" s="2178"/>
      <c r="E208" s="2178"/>
      <c r="F208" s="2178"/>
      <c r="G208" s="2179" t="s">
        <v>2154</v>
      </c>
      <c r="H208" s="2179"/>
      <c r="I208" s="2179"/>
      <c r="J208" s="2179"/>
      <c r="K208" s="2179"/>
      <c r="L208" s="2179"/>
      <c r="M208" s="2179"/>
      <c r="N208" s="2179"/>
      <c r="O208" s="2179"/>
      <c r="P208" s="2180"/>
      <c r="Q208" s="2180"/>
      <c r="R208" s="2180"/>
      <c r="S208" s="2180"/>
      <c r="T208" s="2180"/>
      <c r="U208" s="2181" t="s">
        <v>2154</v>
      </c>
      <c r="V208" s="2181"/>
      <c r="W208" s="2181"/>
      <c r="X208" s="2181"/>
      <c r="Y208" s="2181" t="s">
        <v>2154</v>
      </c>
      <c r="Z208" s="2181"/>
      <c r="AA208" s="2181"/>
      <c r="AB208" s="2181"/>
      <c r="AC208" s="2182" t="s">
        <v>2154</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7">
        <v>3</v>
      </c>
      <c r="D209" s="2178"/>
      <c r="E209" s="2178"/>
      <c r="F209" s="2178"/>
      <c r="G209" s="2179" t="s">
        <v>2154</v>
      </c>
      <c r="H209" s="2179"/>
      <c r="I209" s="2179"/>
      <c r="J209" s="2179"/>
      <c r="K209" s="2179"/>
      <c r="L209" s="2179"/>
      <c r="M209" s="2179"/>
      <c r="N209" s="2179"/>
      <c r="O209" s="2179"/>
      <c r="P209" s="2180"/>
      <c r="Q209" s="2180"/>
      <c r="R209" s="2180"/>
      <c r="S209" s="2180"/>
      <c r="T209" s="2180"/>
      <c r="U209" s="2181" t="s">
        <v>2154</v>
      </c>
      <c r="V209" s="2181"/>
      <c r="W209" s="2181"/>
      <c r="X209" s="2181"/>
      <c r="Y209" s="2181" t="s">
        <v>2154</v>
      </c>
      <c r="Z209" s="2181"/>
      <c r="AA209" s="2181"/>
      <c r="AB209" s="2181"/>
      <c r="AC209" s="2182" t="s">
        <v>2154</v>
      </c>
      <c r="AD209" s="2182"/>
      <c r="AE209" s="2182"/>
      <c r="AF209" s="2182"/>
      <c r="AG209" s="2576"/>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7">
        <v>4</v>
      </c>
      <c r="D210" s="2178"/>
      <c r="E210" s="2178"/>
      <c r="F210" s="2178"/>
      <c r="G210" s="2179" t="s">
        <v>2154</v>
      </c>
      <c r="H210" s="2179"/>
      <c r="I210" s="2179"/>
      <c r="J210" s="2179"/>
      <c r="K210" s="2179"/>
      <c r="L210" s="2179"/>
      <c r="M210" s="2179"/>
      <c r="N210" s="2179"/>
      <c r="O210" s="2179"/>
      <c r="P210" s="2180"/>
      <c r="Q210" s="2180"/>
      <c r="R210" s="2180"/>
      <c r="S210" s="2180"/>
      <c r="T210" s="2180"/>
      <c r="U210" s="2181" t="s">
        <v>2154</v>
      </c>
      <c r="V210" s="2181"/>
      <c r="W210" s="2181"/>
      <c r="X210" s="2181"/>
      <c r="Y210" s="2181" t="s">
        <v>2154</v>
      </c>
      <c r="Z210" s="2181"/>
      <c r="AA210" s="2181"/>
      <c r="AB210" s="2181"/>
      <c r="AC210" s="2182" t="s">
        <v>2154</v>
      </c>
      <c r="AD210" s="2182"/>
      <c r="AE210" s="2182"/>
      <c r="AF210" s="2182"/>
      <c r="AG210" s="2576"/>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2154</v>
      </c>
      <c r="V211" s="2181"/>
      <c r="W211" s="2181"/>
      <c r="X211" s="2181"/>
      <c r="Y211" s="2181" t="s">
        <v>2154</v>
      </c>
      <c r="Z211" s="2181"/>
      <c r="AA211" s="2181"/>
      <c r="AB211" s="2181"/>
      <c r="AC211" s="2182" t="s">
        <v>2154</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7">
        <v>6</v>
      </c>
      <c r="D212" s="2178"/>
      <c r="E212" s="2178"/>
      <c r="F212" s="2178"/>
      <c r="G212" s="2179" t="s">
        <v>2154</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2154</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2154</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2" t="s">
        <v>2587</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2" t="s">
        <v>1854</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75"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75" customHeight="1">
      <c r="A221" s="1209"/>
      <c r="B221" s="2558" t="s">
        <v>1855</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75" customHeight="1">
      <c r="A222" s="1209"/>
      <c r="B222" s="2558" t="s">
        <v>1856</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1" t="s">
        <v>1857</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5" t="s">
        <v>1859</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4" t="s">
        <v>2498</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75"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75"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75"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3" t="s">
        <v>1860</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9" t="s">
        <v>1861</v>
      </c>
      <c r="I237" s="2549"/>
      <c r="J237" s="2549"/>
      <c r="K237" s="2549"/>
      <c r="L237" s="1211"/>
      <c r="M237" s="1211"/>
      <c r="N237" s="1211"/>
      <c r="O237" s="1211"/>
      <c r="P237" s="1211"/>
      <c r="Q237" s="1211"/>
      <c r="R237" s="1211"/>
      <c r="S237" s="2570"/>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9" t="s">
        <v>1862</v>
      </c>
      <c r="I239" s="2549"/>
      <c r="J239" s="2549"/>
      <c r="K239" s="1213"/>
      <c r="L239" s="1211"/>
      <c r="M239" s="1211"/>
      <c r="N239" s="1211"/>
      <c r="O239" s="1211"/>
      <c r="P239" s="1211"/>
      <c r="Q239" s="1211"/>
      <c r="R239" s="1211"/>
      <c r="S239" s="2567"/>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9" t="s">
        <v>443</v>
      </c>
      <c r="I241" s="2549"/>
      <c r="J241" s="1213"/>
      <c r="K241" s="1213"/>
      <c r="L241" s="1211"/>
      <c r="M241" s="1211"/>
      <c r="N241" s="1211"/>
      <c r="O241" s="1211"/>
      <c r="P241" s="1211"/>
      <c r="Q241" s="1211"/>
      <c r="R241" s="1211"/>
      <c r="S241" s="2567"/>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0" t="s">
        <v>1863</v>
      </c>
      <c r="I243" s="2550"/>
      <c r="J243" s="2550"/>
      <c r="K243" s="2550"/>
      <c r="L243" s="2550"/>
      <c r="M243" s="2550"/>
      <c r="N243" s="2550"/>
      <c r="O243" s="2550"/>
      <c r="P243" s="1211"/>
      <c r="Q243" s="1211"/>
      <c r="R243" s="1211"/>
      <c r="S243" s="2567"/>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1" t="s">
        <v>1864</v>
      </c>
      <c r="I245" s="2551"/>
      <c r="J245" s="1211"/>
      <c r="K245" s="1211"/>
      <c r="L245" s="1211"/>
      <c r="M245" s="1211"/>
      <c r="N245" s="1211"/>
      <c r="O245" s="1211"/>
      <c r="P245" s="1211"/>
      <c r="Q245" s="1211"/>
      <c r="R245" s="1211"/>
      <c r="S245" s="2564"/>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abSelected="1" topLeftCell="A43" zoomScale="200"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1" t="s">
        <v>1390</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3"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3"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3"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3"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3" customHeight="1">
      <c r="B11" s="2624" t="s">
        <v>375</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50610684</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 customHeight="1">
      <c r="B12" s="2665" t="s">
        <v>505</v>
      </c>
      <c r="C12" s="1283"/>
      <c r="D12" s="1283"/>
      <c r="E12" s="1283"/>
      <c r="F12" s="1283"/>
      <c r="G12" s="1283"/>
      <c r="H12" s="1283"/>
      <c r="I12" s="1283"/>
      <c r="J12" s="1283"/>
      <c r="K12" s="1283"/>
      <c r="L12" s="1283"/>
      <c r="M12" s="1283"/>
      <c r="N12" s="1283"/>
      <c r="O12" s="1283"/>
      <c r="P12" s="1283"/>
      <c r="Q12" s="1283"/>
      <c r="R12" s="1283"/>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3" customHeight="1">
      <c r="B13" s="467"/>
      <c r="C13" s="2667" t="s">
        <v>506</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3" customHeight="1">
      <c r="B14" s="467"/>
      <c r="C14" s="2667" t="s">
        <v>507</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3" customHeight="1">
      <c r="B15" s="467"/>
      <c r="C15" s="2667" t="s">
        <v>508</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3" customHeight="1">
      <c r="B16" s="467"/>
      <c r="C16" s="2667" t="s">
        <v>814</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3" customHeight="1">
      <c r="B17" s="467"/>
      <c r="C17" s="2667" t="s">
        <v>509</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3" customHeight="1">
      <c r="A18"/>
      <c r="B18" s="1194"/>
      <c r="C18" s="1655" t="s">
        <v>979</v>
      </c>
      <c r="D18" s="1655"/>
      <c r="E18" s="1655"/>
      <c r="F18" s="1655"/>
      <c r="G18" s="1655"/>
      <c r="H18" s="1655"/>
      <c r="I18" s="1655"/>
      <c r="J18" s="1655"/>
      <c r="K18" s="1655"/>
      <c r="L18" s="1655"/>
      <c r="M18" s="1655"/>
      <c r="N18" s="1655"/>
      <c r="O18" s="1655"/>
      <c r="P18" s="1655"/>
      <c r="Q18" s="1655"/>
      <c r="R18" s="1655"/>
      <c r="S18" s="1656"/>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3" customHeight="1">
      <c r="B19" s="1194"/>
      <c r="C19" s="1655" t="s">
        <v>979</v>
      </c>
      <c r="D19" s="1655"/>
      <c r="E19" s="1655"/>
      <c r="F19" s="1655"/>
      <c r="G19" s="1655"/>
      <c r="H19" s="1655"/>
      <c r="I19" s="1655"/>
      <c r="J19" s="1655"/>
      <c r="K19" s="1655"/>
      <c r="L19" s="1655"/>
      <c r="M19" s="1655"/>
      <c r="N19" s="1655"/>
      <c r="O19" s="1655"/>
      <c r="P19" s="1655"/>
      <c r="Q19" s="1655"/>
      <c r="R19" s="1655"/>
      <c r="S19" s="1656"/>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3" customHeight="1">
      <c r="B20" s="2624" t="s">
        <v>510</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3" customHeight="1">
      <c r="B21" s="2624" t="s">
        <v>1373</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3" customHeight="1">
      <c r="B22" s="2624" t="s">
        <v>511</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24" t="s">
        <v>512</v>
      </c>
      <c r="C23" s="2625"/>
      <c r="D23" s="2625"/>
      <c r="E23" s="2625"/>
      <c r="F23" s="2625"/>
      <c r="G23" s="2625"/>
      <c r="H23" s="2625"/>
      <c r="I23" s="2625"/>
      <c r="J23" s="2625"/>
      <c r="K23" s="2625"/>
      <c r="L23" s="2625"/>
      <c r="M23" s="2625"/>
      <c r="N23" s="2625"/>
      <c r="O23" s="2625"/>
      <c r="P23" s="2625"/>
      <c r="Q23" s="2625"/>
      <c r="R23" s="2625"/>
      <c r="S23" s="2626"/>
      <c r="T23" s="2640">
        <f>T11+T22</f>
        <v>50610684</v>
      </c>
      <c r="U23" s="2618"/>
      <c r="V23" s="2618"/>
      <c r="W23" s="2618"/>
      <c r="X23" s="2618"/>
      <c r="Y23" s="2640">
        <f>Y11+Y22</f>
        <v>0</v>
      </c>
      <c r="Z23" s="2618"/>
      <c r="AA23" s="2618"/>
      <c r="AB23" s="2618"/>
      <c r="AC23" s="2618"/>
      <c r="AD23" s="2640">
        <f>AD11+AD22</f>
        <v>0</v>
      </c>
      <c r="AE23" s="2618"/>
      <c r="AF23" s="2618"/>
      <c r="AG23" s="2618"/>
      <c r="AH23" s="2618"/>
      <c r="AI23" s="2640">
        <f>AI11+AI22</f>
        <v>0</v>
      </c>
      <c r="AJ23" s="2618"/>
      <c r="AK23" s="2618"/>
      <c r="AL23" s="2618"/>
      <c r="AM23" s="2618"/>
    </row>
    <row r="24" spans="1:40" ht="13" customHeight="1">
      <c r="B24" s="2624" t="s">
        <v>980</v>
      </c>
      <c r="C24" s="2625"/>
      <c r="D24" s="2625"/>
      <c r="E24" s="2625"/>
      <c r="F24" s="2625"/>
      <c r="G24" s="2625"/>
      <c r="H24" s="2625"/>
      <c r="I24" s="2625"/>
      <c r="J24" s="2625"/>
      <c r="K24" s="2625"/>
      <c r="L24" s="2625"/>
      <c r="M24" s="2625"/>
      <c r="N24" s="2625"/>
      <c r="O24" s="2625"/>
      <c r="P24" s="2625"/>
      <c r="Q24" s="2625"/>
      <c r="R24" s="2625"/>
      <c r="S24" s="2626"/>
      <c r="T24" s="2628">
        <f>Application!AJ1052</f>
        <v>83555710.559999987</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3" customHeight="1">
      <c r="B25" s="2671" t="s">
        <v>1374</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 customHeight="1">
      <c r="B26" s="2624" t="s">
        <v>513</v>
      </c>
      <c r="C26" s="2625"/>
      <c r="D26" s="2625"/>
      <c r="E26" s="2625"/>
      <c r="F26" s="2625"/>
      <c r="G26" s="2625"/>
      <c r="H26" s="2625"/>
      <c r="I26" s="2625"/>
      <c r="J26" s="2625"/>
      <c r="K26" s="2625"/>
      <c r="L26" s="2625"/>
      <c r="M26" s="2625"/>
      <c r="N26" s="2625"/>
      <c r="O26" s="2625"/>
      <c r="P26" s="2625"/>
      <c r="Q26" s="2625"/>
      <c r="R26" s="2625"/>
      <c r="S26" s="2626"/>
      <c r="T26" s="2640">
        <f>T23*T25</f>
        <v>65793889.200000003</v>
      </c>
      <c r="U26" s="2618"/>
      <c r="V26" s="2618"/>
      <c r="W26" s="2618"/>
      <c r="X26" s="2618"/>
      <c r="Y26" s="2640">
        <f>Y23*Y25</f>
        <v>0</v>
      </c>
      <c r="Z26" s="2618"/>
      <c r="AA26" s="2618"/>
      <c r="AB26" s="2618"/>
      <c r="AC26" s="2618"/>
      <c r="AD26" s="2640">
        <f>AD23*AD25</f>
        <v>0</v>
      </c>
      <c r="AE26" s="2618"/>
      <c r="AF26" s="2618"/>
      <c r="AG26" s="2618"/>
      <c r="AH26" s="2618"/>
      <c r="AI26" s="2640">
        <f>AI23*AI25</f>
        <v>0</v>
      </c>
      <c r="AJ26" s="2618"/>
      <c r="AK26" s="2618"/>
      <c r="AL26" s="2618"/>
      <c r="AM26" s="2618"/>
    </row>
    <row r="27" spans="1:40" ht="13" customHeight="1">
      <c r="A27" s="441"/>
      <c r="B27" s="2674" t="s">
        <v>426</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3" customHeight="1">
      <c r="A28" s="435"/>
      <c r="B28" s="2624" t="s">
        <v>514</v>
      </c>
      <c r="C28" s="2625"/>
      <c r="D28" s="2625"/>
      <c r="E28" s="2625"/>
      <c r="F28" s="2625"/>
      <c r="G28" s="2625"/>
      <c r="H28" s="2625"/>
      <c r="I28" s="2625"/>
      <c r="J28" s="2625"/>
      <c r="K28" s="2625"/>
      <c r="L28" s="2625"/>
      <c r="M28" s="2625"/>
      <c r="N28" s="2625"/>
      <c r="O28" s="2625"/>
      <c r="P28" s="2625"/>
      <c r="Q28" s="2625"/>
      <c r="R28" s="2625"/>
      <c r="S28" s="2626"/>
      <c r="T28" s="2640">
        <f>IF(ISERROR((T26*T27)),0,(T26*T27))</f>
        <v>65793889.200000003</v>
      </c>
      <c r="U28" s="2618"/>
      <c r="V28" s="2618"/>
      <c r="W28" s="2618"/>
      <c r="X28" s="2618"/>
      <c r="Y28" s="2640">
        <f>IF(ISERROR((Y26*Y27)),0,(Y26*Y27))</f>
        <v>0</v>
      </c>
      <c r="Z28" s="2618"/>
      <c r="AA28" s="2618"/>
      <c r="AB28" s="2618"/>
      <c r="AC28" s="2618"/>
      <c r="AD28" s="2640">
        <f>IF(ISERROR((AD26*AD27)),0,(AD26*AD27))</f>
        <v>0</v>
      </c>
      <c r="AE28" s="2618"/>
      <c r="AF28" s="2618"/>
      <c r="AG28" s="2618"/>
      <c r="AH28" s="2618"/>
      <c r="AI28" s="2640">
        <f>IF(ISERROR((AI26*AI27)),0,(AI26*AI27))</f>
        <v>0</v>
      </c>
      <c r="AJ28" s="2618"/>
      <c r="AK28" s="2618"/>
      <c r="AL28" s="2618"/>
      <c r="AM28" s="2618"/>
    </row>
    <row r="29" spans="1:40" ht="13" customHeight="1">
      <c r="B29" s="2624" t="s">
        <v>531</v>
      </c>
      <c r="C29" s="2625"/>
      <c r="D29" s="2625"/>
      <c r="E29" s="2625"/>
      <c r="F29" s="2625"/>
      <c r="G29" s="2625"/>
      <c r="H29" s="2625"/>
      <c r="I29" s="2625"/>
      <c r="J29" s="2625"/>
      <c r="K29" s="2625"/>
      <c r="L29" s="2625"/>
      <c r="M29" s="2625"/>
      <c r="N29" s="2625"/>
      <c r="O29" s="2625"/>
      <c r="P29" s="2625"/>
      <c r="Q29" s="2625"/>
      <c r="R29" s="2625"/>
      <c r="S29" s="2626"/>
      <c r="T29" s="2628">
        <f>T28+Y28+AD28+AI28</f>
        <v>65793889.200000003</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3" customHeight="1">
      <c r="B30" s="2644" t="s">
        <v>1376</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 customHeight="1">
      <c r="B31" s="2644" t="s">
        <v>1375</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1256</v>
      </c>
      <c r="Z35" s="2641"/>
      <c r="AA35" s="2641"/>
      <c r="AB35" s="2641"/>
      <c r="AC35" s="2641"/>
      <c r="AD35" s="2642" t="s">
        <v>369</v>
      </c>
      <c r="AE35" s="2642"/>
      <c r="AF35" s="2642"/>
      <c r="AG35" s="2642"/>
      <c r="AH35" s="2642"/>
    </row>
    <row r="36" spans="1:76" ht="13" customHeight="1">
      <c r="B36" s="438"/>
      <c r="X36" s="443"/>
      <c r="Y36" s="2641"/>
      <c r="Z36" s="2641"/>
      <c r="AA36" s="2641"/>
      <c r="AB36" s="2641"/>
      <c r="AC36" s="2641"/>
      <c r="AD36" s="2642"/>
      <c r="AE36" s="2642"/>
      <c r="AF36" s="2642"/>
      <c r="AG36" s="2642"/>
      <c r="AH36" s="2642"/>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3" customHeight="1">
      <c r="A38" s="435"/>
      <c r="B38" s="2624" t="s">
        <v>514</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65793889.200000003</v>
      </c>
      <c r="Z38" s="2618"/>
      <c r="AA38" s="2618"/>
      <c r="AB38" s="2618"/>
      <c r="AC38" s="2618"/>
      <c r="AD38" s="2618">
        <f>IF(T24&gt;=(T23+Y23+AD23+AI23),AD28+AI28,0)</f>
        <v>0</v>
      </c>
      <c r="AE38" s="2618"/>
      <c r="AF38" s="2618"/>
      <c r="AG38" s="2618"/>
      <c r="AH38" s="2618"/>
    </row>
    <row r="39" spans="1:76" ht="13" customHeight="1">
      <c r="B39" s="2624" t="s">
        <v>1881</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3" customHeight="1">
      <c r="A40" s="435"/>
      <c r="B40" s="2624" t="s">
        <v>650</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2631756</v>
      </c>
      <c r="Z40" s="2618"/>
      <c r="AA40" s="2618"/>
      <c r="AB40" s="2618"/>
      <c r="AC40" s="2618"/>
      <c r="AD40" s="2640">
        <f>ROUND(AD38*AD39,0)</f>
        <v>0</v>
      </c>
      <c r="AE40" s="2618"/>
      <c r="AF40" s="2618"/>
      <c r="AG40" s="2618"/>
      <c r="AH40" s="2618"/>
    </row>
    <row r="41" spans="1:76" ht="13" customHeight="1">
      <c r="B41" s="2624" t="s">
        <v>651</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2631756</v>
      </c>
      <c r="Z41" s="2639"/>
      <c r="AA41" s="2639"/>
      <c r="AB41" s="2639"/>
      <c r="AC41" s="2639"/>
      <c r="AD41" s="2639"/>
      <c r="AE41" s="2639"/>
      <c r="AF41" s="2639"/>
      <c r="AG41" s="2639"/>
      <c r="AH41" s="2640"/>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8" t="s">
        <v>1386</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3" customHeight="1" thickTop="1"/>
    <row r="46" spans="1:76" ht="13" customHeight="1">
      <c r="A46" s="435" t="s">
        <v>594</v>
      </c>
      <c r="C46" s="435" t="s">
        <v>282</v>
      </c>
    </row>
    <row r="47" spans="1:76" ht="13" customHeight="1">
      <c r="D47" s="435" t="s">
        <v>283</v>
      </c>
      <c r="AB47" s="2632">
        <f>'Sources and Uses Budget'!B105-MAX(IF('Sources and Uses Budget'!B15="",0,'Sources and Uses Budget'!B15),IF(Application!AG394="",0,Application!AG394))</f>
        <v>58392816</v>
      </c>
      <c r="AC47" s="2633"/>
      <c r="AD47" s="2633"/>
      <c r="AE47" s="2633"/>
      <c r="AF47" s="2634"/>
    </row>
    <row r="48" spans="1:76" ht="13" customHeight="1">
      <c r="D48" s="435" t="s">
        <v>21</v>
      </c>
      <c r="AB48" s="2632">
        <f>Application!AO639-MAX(IF('Sources and Uses Budget'!B15="",0,'Sources and Uses Budget'!B15),IF(Application!AG394="",0,Application!AG394))</f>
        <v>21540792</v>
      </c>
      <c r="AC48" s="2633"/>
      <c r="AD48" s="2633"/>
      <c r="AE48" s="2633"/>
      <c r="AF48" s="2634"/>
    </row>
    <row r="49" spans="1:76" ht="13" customHeight="1">
      <c r="D49" s="435" t="s">
        <v>91</v>
      </c>
      <c r="AB49" s="2632">
        <f>AB47-AB48</f>
        <v>36852024</v>
      </c>
      <c r="AC49" s="2633"/>
      <c r="AD49" s="2633"/>
      <c r="AE49" s="2633"/>
      <c r="AF49" s="2634"/>
    </row>
    <row r="50" spans="1:76" ht="13" customHeight="1">
      <c r="D50" s="435" t="s">
        <v>689</v>
      </c>
      <c r="AA50" s="446"/>
      <c r="AB50" s="2620">
        <f>23490804/26317560</f>
        <v>0.89259049851126016</v>
      </c>
      <c r="AC50" s="2621"/>
      <c r="AD50" s="2621"/>
      <c r="AE50" s="2621"/>
      <c r="AF50" s="2622"/>
    </row>
    <row r="51" spans="1:76" s="448" customFormat="1" ht="13" customHeight="1">
      <c r="A51" s="433"/>
      <c r="B51" s="433"/>
      <c r="C51" s="433"/>
      <c r="D51" s="433"/>
      <c r="E51" s="2631" t="s">
        <v>2041</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2">
        <f>ROUND(IF(ISERROR((AB49/AB50)),0,(AB49/AB50)),0)</f>
        <v>41286597</v>
      </c>
      <c r="AC54" s="2633"/>
      <c r="AD54" s="2633"/>
      <c r="AE54" s="2633"/>
      <c r="AF54" s="2634"/>
    </row>
    <row r="55" spans="1:76" ht="13" customHeight="1">
      <c r="D55" s="435" t="s">
        <v>333</v>
      </c>
      <c r="AB55" s="2632">
        <f>(AB54/10)</f>
        <v>4128659.7</v>
      </c>
      <c r="AC55" s="2633"/>
      <c r="AD55" s="2633"/>
      <c r="AE55" s="2633"/>
      <c r="AF55" s="2634"/>
    </row>
    <row r="56" spans="1:76" ht="13" customHeight="1">
      <c r="D56" s="435" t="s">
        <v>765</v>
      </c>
      <c r="AB56" s="2635">
        <f>(IF((Y41&lt;AB55),Y41,AB55))</f>
        <v>2631756</v>
      </c>
      <c r="AC56" s="2636"/>
      <c r="AD56" s="2636"/>
      <c r="AE56" s="2636"/>
      <c r="AF56" s="2637"/>
    </row>
    <row r="57" spans="1:76" ht="13" customHeight="1">
      <c r="D57" s="435" t="s">
        <v>764</v>
      </c>
      <c r="AB57" s="2632">
        <f>ROUND((10*AB56*AB50),0)</f>
        <v>23490804</v>
      </c>
      <c r="AC57" s="2633"/>
      <c r="AD57" s="2633"/>
      <c r="AE57" s="2633"/>
      <c r="AF57" s="2634"/>
    </row>
    <row r="58" spans="1:76" ht="13" customHeight="1">
      <c r="D58" s="435"/>
      <c r="AB58" s="454"/>
      <c r="AC58" s="454"/>
      <c r="AD58" s="454"/>
      <c r="AE58" s="454"/>
      <c r="AF58" s="454"/>
    </row>
    <row r="59" spans="1:76" ht="13" customHeight="1">
      <c r="D59" s="435" t="s">
        <v>763</v>
      </c>
      <c r="AB59" s="2616">
        <f>AB49-AB57</f>
        <v>13361220</v>
      </c>
      <c r="AC59" s="2616"/>
      <c r="AD59" s="2616"/>
      <c r="AE59" s="2616"/>
      <c r="AF59" s="2616"/>
    </row>
    <row r="60" spans="1:76" ht="13" customHeight="1">
      <c r="D60" s="435"/>
      <c r="AB60" s="454"/>
      <c r="AC60" s="454"/>
      <c r="AD60" s="454"/>
      <c r="AE60" s="454"/>
      <c r="AF60" s="454"/>
    </row>
    <row r="61" spans="1:76" s="218" customFormat="1" ht="13"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3" customHeight="1" thickTop="1"/>
    <row r="63" spans="1:76" ht="13" customHeight="1">
      <c r="A63" s="435" t="s">
        <v>597</v>
      </c>
      <c r="C63" s="219" t="s">
        <v>1357</v>
      </c>
      <c r="Y63" s="2627" t="s">
        <v>1003</v>
      </c>
      <c r="Z63" s="2627"/>
      <c r="AA63" s="2627"/>
      <c r="AB63" s="2627"/>
      <c r="AC63" s="2627"/>
      <c r="AD63" s="2627" t="s">
        <v>369</v>
      </c>
      <c r="AE63" s="2627"/>
      <c r="AF63" s="2627"/>
      <c r="AG63" s="2627"/>
      <c r="AH63" s="2627"/>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50610684</v>
      </c>
      <c r="Z64" s="2629"/>
      <c r="AA64" s="2629"/>
      <c r="AB64" s="2629"/>
      <c r="AC64" s="2630"/>
      <c r="AD64" s="2628">
        <f>IF(AND(OR(Application!D211="At-Risk",Application!D211="At-Risk and Special Needs"),Application!M358="yes"),AD28+AI28,0)</f>
        <v>0</v>
      </c>
      <c r="AE64" s="2629"/>
      <c r="AF64" s="2629"/>
      <c r="AG64" s="2629"/>
      <c r="AH64" s="2630"/>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3" customHeight="1">
      <c r="C68" s="435"/>
      <c r="D68" s="219" t="s">
        <v>1359</v>
      </c>
      <c r="Y68" s="2618">
        <f>ROUND(Y64*Y67,0)</f>
        <v>15183205</v>
      </c>
      <c r="Z68" s="2619"/>
      <c r="AA68" s="2619"/>
      <c r="AB68" s="2619"/>
      <c r="AC68" s="2619"/>
      <c r="AD68" s="2618">
        <f>ROUND(AD64*AD67,0)</f>
        <v>0</v>
      </c>
      <c r="AE68" s="2619"/>
      <c r="AF68" s="2619"/>
      <c r="AG68" s="2619"/>
      <c r="AH68" s="2619"/>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20">
        <v>0.88</v>
      </c>
      <c r="AC71" s="2621"/>
      <c r="AD71" s="2621"/>
      <c r="AE71" s="2621"/>
      <c r="AF71" s="2622"/>
    </row>
    <row r="72" spans="1:36" ht="13" customHeight="1">
      <c r="A72" s="435"/>
      <c r="C72" s="435"/>
      <c r="D72" s="435"/>
      <c r="E72" s="2623" t="s">
        <v>1361</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3"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3"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11">
        <f>ROUND(IF(ISERROR((AB59/AB71)),0,(AB59/AB71)),0)</f>
        <v>15183205</v>
      </c>
      <c r="AC76" s="2611"/>
      <c r="AD76" s="2611"/>
      <c r="AE76" s="2611"/>
      <c r="AF76" s="2611"/>
    </row>
    <row r="77" spans="1:36" ht="13" customHeight="1">
      <c r="C77" s="435"/>
      <c r="D77" s="219" t="s">
        <v>1363</v>
      </c>
      <c r="AB77" s="2612">
        <f>IF((Y68+AD68&lt;AB76),Y68+AD68,AB76)</f>
        <v>15183205</v>
      </c>
      <c r="AC77" s="2613"/>
      <c r="AD77" s="2613"/>
      <c r="AE77" s="2613"/>
      <c r="AF77" s="2614"/>
    </row>
    <row r="78" spans="1:36" ht="13" customHeight="1">
      <c r="C78" s="435"/>
      <c r="D78" s="219" t="s">
        <v>1364</v>
      </c>
      <c r="AB78" s="2615">
        <f>AB77*AB71</f>
        <v>13361220.4</v>
      </c>
      <c r="AC78" s="2615"/>
      <c r="AD78" s="2615"/>
      <c r="AE78" s="2615"/>
      <c r="AF78" s="2615"/>
    </row>
    <row r="79" spans="1:36" ht="13" customHeight="1">
      <c r="C79" s="435"/>
      <c r="D79" s="435"/>
      <c r="AB79" s="456"/>
      <c r="AC79" s="456"/>
      <c r="AD79" s="456"/>
      <c r="AE79" s="456"/>
      <c r="AF79" s="456"/>
    </row>
    <row r="80" spans="1:36" ht="13" customHeight="1">
      <c r="D80" s="435" t="s">
        <v>763</v>
      </c>
      <c r="AB80" s="2616">
        <f>AB49-(AB57+AB78)</f>
        <v>-0.39999999850988388</v>
      </c>
      <c r="AC80" s="2616"/>
      <c r="AD80" s="2616"/>
      <c r="AE80" s="2616"/>
      <c r="AF80" s="2616"/>
    </row>
    <row r="81" spans="1:78" ht="13" customHeight="1">
      <c r="F81" s="556"/>
      <c r="J81" s="556" t="str">
        <f>IF(AB80&gt;0,"FUNDING GAP MUST NOT EXCEED ZERO","")</f>
        <v/>
      </c>
    </row>
    <row r="82" spans="1:78" ht="13" customHeight="1">
      <c r="D82" s="557"/>
    </row>
    <row r="83" spans="1:78" ht="13"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3" customHeight="1" thickTop="1"/>
    <row r="85" spans="1:78" ht="13" customHeight="1">
      <c r="A85" s="435"/>
      <c r="C85" s="219"/>
    </row>
    <row r="86" spans="1:78" ht="13" customHeight="1">
      <c r="D86" s="219"/>
      <c r="AB86" s="2670"/>
      <c r="AC86" s="2670"/>
      <c r="AD86" s="2670"/>
      <c r="AE86" s="2670"/>
      <c r="AF86" s="2670"/>
    </row>
    <row r="87" spans="1:78" ht="13"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5</v>
      </c>
      <c r="C4" s="1122"/>
      <c r="D4" s="459">
        <f>Application!O718</f>
        <v>665</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3</v>
      </c>
      <c r="C5" s="1122"/>
      <c r="D5" s="459">
        <f>Application!O719</f>
        <v>796</v>
      </c>
      <c r="E5" s="460"/>
      <c r="F5" s="1123"/>
      <c r="G5" s="459">
        <f t="shared" ref="G5:G38" si="2">F5*B5</f>
        <v>0</v>
      </c>
      <c r="H5" s="460"/>
      <c r="I5" s="459" t="str">
        <f t="shared" si="0"/>
        <v/>
      </c>
      <c r="J5" s="459" t="str">
        <f t="shared" si="1"/>
        <v/>
      </c>
      <c r="K5" s="218"/>
      <c r="L5" s="328"/>
    </row>
    <row r="6" spans="1:12">
      <c r="A6" s="459" t="str">
        <f>Application!B720</f>
        <v>3 Bedrooms</v>
      </c>
      <c r="B6" s="1121">
        <f>Application!G720</f>
        <v>3</v>
      </c>
      <c r="C6" s="1122"/>
      <c r="D6" s="459">
        <f>Application!O720</f>
        <v>914</v>
      </c>
      <c r="E6" s="460"/>
      <c r="F6" s="1123"/>
      <c r="G6" s="459">
        <f t="shared" si="2"/>
        <v>0</v>
      </c>
      <c r="H6" s="460"/>
      <c r="I6" s="459" t="str">
        <f t="shared" si="0"/>
        <v/>
      </c>
      <c r="J6" s="459" t="str">
        <f t="shared" si="1"/>
        <v/>
      </c>
      <c r="K6" s="218"/>
      <c r="L6" s="328"/>
    </row>
    <row r="7" spans="1:12">
      <c r="A7" s="459" t="str">
        <f>Application!B721</f>
        <v>1 Bedroom</v>
      </c>
      <c r="B7" s="1121">
        <f>Application!G721</f>
        <v>7</v>
      </c>
      <c r="C7" s="1122"/>
      <c r="D7" s="459">
        <f>Application!O721</f>
        <v>1138</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1363</v>
      </c>
      <c r="E8" s="460"/>
      <c r="F8" s="1123"/>
      <c r="G8" s="459">
        <f t="shared" si="2"/>
        <v>0</v>
      </c>
      <c r="H8" s="460"/>
      <c r="I8" s="459" t="str">
        <f t="shared" si="0"/>
        <v/>
      </c>
      <c r="J8" s="459" t="str">
        <f t="shared" si="1"/>
        <v/>
      </c>
      <c r="K8" s="218"/>
      <c r="L8" s="328"/>
    </row>
    <row r="9" spans="1:12">
      <c r="A9" s="459" t="str">
        <f>Application!B723</f>
        <v>3 Bedrooms</v>
      </c>
      <c r="B9" s="1121">
        <f>Application!G723</f>
        <v>3</v>
      </c>
      <c r="C9" s="1122"/>
      <c r="D9" s="459">
        <f>Application!O723</f>
        <v>1570</v>
      </c>
      <c r="E9" s="460"/>
      <c r="F9" s="1123"/>
      <c r="G9" s="459">
        <f t="shared" si="2"/>
        <v>0</v>
      </c>
      <c r="H9" s="460"/>
      <c r="I9" s="459" t="str">
        <f t="shared" si="0"/>
        <v/>
      </c>
      <c r="J9" s="459" t="str">
        <f t="shared" si="1"/>
        <v/>
      </c>
      <c r="K9" s="218"/>
      <c r="L9" s="328"/>
    </row>
    <row r="10" spans="1:12">
      <c r="A10" s="459" t="str">
        <f>Application!B724</f>
        <v>1 Bedroom</v>
      </c>
      <c r="B10" s="1121">
        <f>Application!G724</f>
        <v>11</v>
      </c>
      <c r="C10" s="1122"/>
      <c r="D10" s="459">
        <f>Application!O724</f>
        <v>1375</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c r="D11" s="459">
        <f>Application!O725</f>
        <v>1647</v>
      </c>
      <c r="E11" s="460"/>
      <c r="F11" s="1123"/>
      <c r="G11" s="459">
        <f t="shared" si="2"/>
        <v>0</v>
      </c>
      <c r="H11" s="460"/>
      <c r="I11" s="459" t="str">
        <f t="shared" si="0"/>
        <v/>
      </c>
      <c r="J11" s="459" t="str">
        <f t="shared" si="1"/>
        <v/>
      </c>
      <c r="K11" s="218"/>
      <c r="L11" s="328"/>
    </row>
    <row r="12" spans="1:12">
      <c r="A12" s="459" t="str">
        <f>Application!B726</f>
        <v>3 Bedrooms</v>
      </c>
      <c r="B12" s="1121">
        <f>Application!G726</f>
        <v>6</v>
      </c>
      <c r="C12" s="1122"/>
      <c r="D12" s="459">
        <f>Application!O726</f>
        <v>1898</v>
      </c>
      <c r="E12" s="460"/>
      <c r="F12" s="1123"/>
      <c r="G12" s="459">
        <f t="shared" si="2"/>
        <v>0</v>
      </c>
      <c r="H12" s="460"/>
      <c r="I12" s="459" t="str">
        <f t="shared" si="0"/>
        <v/>
      </c>
      <c r="J12" s="459" t="str">
        <f t="shared" si="1"/>
        <v/>
      </c>
      <c r="K12" s="218"/>
      <c r="L12" s="328"/>
    </row>
    <row r="13" spans="1:12">
      <c r="A13" s="459" t="str">
        <f>Application!B727</f>
        <v>1 Bedroom</v>
      </c>
      <c r="B13" s="1121">
        <f>Application!G727</f>
        <v>8</v>
      </c>
      <c r="C13" s="1122"/>
      <c r="D13" s="459">
        <f>Application!O727</f>
        <v>1611</v>
      </c>
      <c r="E13" s="460"/>
      <c r="F13" s="1123"/>
      <c r="G13" s="459">
        <f t="shared" si="2"/>
        <v>0</v>
      </c>
      <c r="H13" s="460"/>
      <c r="I13" s="459" t="str">
        <f t="shared" si="0"/>
        <v/>
      </c>
      <c r="J13" s="459" t="str">
        <f t="shared" si="1"/>
        <v/>
      </c>
      <c r="K13" s="218"/>
      <c r="L13" s="328"/>
    </row>
    <row r="14" spans="1:12">
      <c r="A14" s="459" t="str">
        <f>Application!B728</f>
        <v>2 Bedrooms</v>
      </c>
      <c r="B14" s="1121">
        <f>Application!G728</f>
        <v>5</v>
      </c>
      <c r="C14" s="1122"/>
      <c r="D14" s="459">
        <f>Application!O728</f>
        <v>1931</v>
      </c>
      <c r="E14" s="460"/>
      <c r="F14" s="1123"/>
      <c r="G14" s="459">
        <f t="shared" si="2"/>
        <v>0</v>
      </c>
      <c r="H14" s="460"/>
      <c r="I14" s="459" t="str">
        <f t="shared" si="0"/>
        <v/>
      </c>
      <c r="J14" s="459" t="str">
        <f t="shared" si="1"/>
        <v/>
      </c>
      <c r="K14" s="218"/>
      <c r="L14" s="328"/>
    </row>
    <row r="15" spans="1:12">
      <c r="A15" s="459" t="str">
        <f>Application!B729</f>
        <v>3 Bedrooms</v>
      </c>
      <c r="B15" s="1121">
        <f>Application!G729</f>
        <v>5</v>
      </c>
      <c r="C15" s="1122"/>
      <c r="D15" s="459">
        <f>Application!O729</f>
        <v>2226</v>
      </c>
      <c r="E15" s="460"/>
      <c r="F15" s="1123"/>
      <c r="G15" s="459">
        <f t="shared" si="2"/>
        <v>0</v>
      </c>
      <c r="H15" s="460"/>
      <c r="I15" s="459" t="str">
        <f t="shared" si="0"/>
        <v/>
      </c>
      <c r="J15" s="459" t="str">
        <f t="shared" si="1"/>
        <v/>
      </c>
      <c r="K15" s="218"/>
      <c r="L15" s="328"/>
    </row>
    <row r="16" spans="1:12">
      <c r="A16" s="459" t="str">
        <f>Application!B730</f>
        <v>1 Bedroom</v>
      </c>
      <c r="B16" s="1121">
        <f>Application!G730</f>
        <v>8</v>
      </c>
      <c r="C16" s="1122"/>
      <c r="D16" s="459">
        <f>Application!O730</f>
        <v>1848</v>
      </c>
      <c r="E16" s="460"/>
      <c r="F16" s="1123"/>
      <c r="G16" s="459">
        <f t="shared" si="2"/>
        <v>0</v>
      </c>
      <c r="H16" s="460"/>
      <c r="I16" s="459" t="str">
        <f t="shared" si="0"/>
        <v/>
      </c>
      <c r="J16" s="459" t="str">
        <f t="shared" si="1"/>
        <v/>
      </c>
      <c r="K16" s="218"/>
      <c r="L16" s="328"/>
    </row>
    <row r="17" spans="1:12">
      <c r="A17" s="459" t="str">
        <f>Application!B731</f>
        <v>2 Bedrooms</v>
      </c>
      <c r="B17" s="1121">
        <f>Application!G731</f>
        <v>3</v>
      </c>
      <c r="C17" s="1122"/>
      <c r="D17" s="459">
        <f>Application!O731</f>
        <v>1931</v>
      </c>
      <c r="E17" s="460"/>
      <c r="F17" s="1123"/>
      <c r="G17" s="459">
        <f t="shared" si="2"/>
        <v>0</v>
      </c>
      <c r="H17" s="460"/>
      <c r="I17" s="459" t="str">
        <f t="shared" si="0"/>
        <v/>
      </c>
      <c r="J17" s="459" t="str">
        <f t="shared" si="1"/>
        <v/>
      </c>
      <c r="K17" s="218"/>
      <c r="L17" s="328"/>
    </row>
    <row r="18" spans="1:12">
      <c r="A18" s="459" t="str">
        <f>Application!B732</f>
        <v>3 Bedrooms</v>
      </c>
      <c r="B18" s="1121">
        <f>Application!G732</f>
        <v>4</v>
      </c>
      <c r="C18" s="1122"/>
      <c r="D18" s="459">
        <f>Application!O732</f>
        <v>2553</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127156</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workbookViewId="0">
      <selection activeCell="E10" sqref="E10"/>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1525872</v>
      </c>
      <c r="G4" s="235">
        <f>E4*$C$4</f>
        <v>1564018.7999999998</v>
      </c>
      <c r="I4" s="235">
        <f>G4*$C$4</f>
        <v>1603119.2699999998</v>
      </c>
      <c r="K4" s="235">
        <f>I4*$C$4</f>
        <v>1643197.2517499996</v>
      </c>
      <c r="M4" s="235">
        <f>K4*$C$4</f>
        <v>1684277.1830437495</v>
      </c>
      <c r="O4" s="235">
        <f>M4*$C$4</f>
        <v>1726384.1126198431</v>
      </c>
      <c r="Q4" s="235">
        <f>O4*$C$4</f>
        <v>1769543.7154353391</v>
      </c>
      <c r="S4" s="235">
        <f>Q4*$C$4</f>
        <v>1813782.3083212224</v>
      </c>
      <c r="U4" s="235">
        <f>S4*$C$4</f>
        <v>1859126.8660292528</v>
      </c>
      <c r="W4" s="235">
        <f>U4*$C$4</f>
        <v>1905605.037679984</v>
      </c>
      <c r="Y4" s="235">
        <f>W4*$C$4</f>
        <v>1953245.1636219835</v>
      </c>
      <c r="AA4" s="235">
        <f>Y4*$C$4</f>
        <v>2002076.2927125329</v>
      </c>
      <c r="AC4" s="235">
        <f>AA4*$C$4</f>
        <v>2052128.2000303462</v>
      </c>
      <c r="AE4" s="235">
        <f>AC4*$C$4</f>
        <v>2103431.4050311046</v>
      </c>
      <c r="AG4" s="235">
        <f>AE4*$C$4</f>
        <v>2156017.1901568822</v>
      </c>
    </row>
    <row r="5" spans="1:34" s="225" customFormat="1" ht="14">
      <c r="B5" s="225" t="s">
        <v>849</v>
      </c>
      <c r="C5" s="254">
        <f>IF(Application!$D$211="Special Needs",0.1,0.05)</f>
        <v>0.05</v>
      </c>
      <c r="E5" s="237">
        <f>-E4*$C$5</f>
        <v>-76293.600000000006</v>
      </c>
      <c r="F5" s="237"/>
      <c r="G5" s="237">
        <f>-G4*$C$5</f>
        <v>-78200.939999999988</v>
      </c>
      <c r="H5" s="237"/>
      <c r="I5" s="237">
        <f>-I4*$C$5</f>
        <v>-80155.963499999998</v>
      </c>
      <c r="J5" s="237"/>
      <c r="K5" s="237">
        <f>-K4*$C$5</f>
        <v>-82159.862587499985</v>
      </c>
      <c r="L5" s="237"/>
      <c r="M5" s="237">
        <f>-M4*$C$5</f>
        <v>-84213.859152187477</v>
      </c>
      <c r="N5" s="237"/>
      <c r="O5" s="237">
        <f>-O4*$C$5</f>
        <v>-86319.205630992161</v>
      </c>
      <c r="P5" s="237"/>
      <c r="Q5" s="237">
        <f>-Q4*$C$5</f>
        <v>-88477.185771766963</v>
      </c>
      <c r="R5" s="237"/>
      <c r="S5" s="237">
        <f>-S4*$C$5</f>
        <v>-90689.115416061133</v>
      </c>
      <c r="T5" s="237"/>
      <c r="U5" s="237">
        <f>-U4*$C$5</f>
        <v>-92956.34330146265</v>
      </c>
      <c r="V5" s="237"/>
      <c r="W5" s="237">
        <f>-W4*$C$5</f>
        <v>-95280.251883999212</v>
      </c>
      <c r="X5" s="237"/>
      <c r="Y5" s="237">
        <f>-Y4*$C$5</f>
        <v>-97662.258181099183</v>
      </c>
      <c r="Z5" s="237"/>
      <c r="AA5" s="237">
        <f>-AA4*$C$5</f>
        <v>-100103.81463562665</v>
      </c>
      <c r="AB5" s="237"/>
      <c r="AC5" s="237">
        <f>-AC4*$C$5</f>
        <v>-102606.41000151732</v>
      </c>
      <c r="AD5" s="237"/>
      <c r="AE5" s="237">
        <f>-AE4*$C$5</f>
        <v>-105171.57025155524</v>
      </c>
      <c r="AF5" s="237"/>
      <c r="AG5" s="237">
        <f>-AG4*$C$5</f>
        <v>-107800.85950784411</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3936</v>
      </c>
      <c r="F8" s="238"/>
      <c r="G8" s="238">
        <f>E8*$C$8</f>
        <v>4034.3999999999996</v>
      </c>
      <c r="H8" s="238"/>
      <c r="I8" s="238">
        <f>G8*$C$8</f>
        <v>4135.2599999999993</v>
      </c>
      <c r="J8" s="238"/>
      <c r="K8" s="238">
        <f>I8*$C$8</f>
        <v>4238.6414999999988</v>
      </c>
      <c r="L8" s="238"/>
      <c r="M8" s="238">
        <f>K8*$C$8</f>
        <v>4344.6075374999982</v>
      </c>
      <c r="N8" s="238"/>
      <c r="O8" s="238">
        <f>M8*$C$8</f>
        <v>4453.2227259374977</v>
      </c>
      <c r="P8" s="238"/>
      <c r="Q8" s="238">
        <f>O8*$C$8</f>
        <v>4564.5532940859348</v>
      </c>
      <c r="R8" s="238"/>
      <c r="S8" s="238">
        <f>Q8*$C$8</f>
        <v>4678.667126438083</v>
      </c>
      <c r="T8" s="238"/>
      <c r="U8" s="238">
        <f>S8*$C$8</f>
        <v>4795.6338045990342</v>
      </c>
      <c r="V8" s="238"/>
      <c r="W8" s="238">
        <f>U8*$C$8</f>
        <v>4915.5246497140097</v>
      </c>
      <c r="X8" s="238"/>
      <c r="Y8" s="238">
        <f>W8*$C$8</f>
        <v>5038.4127659568594</v>
      </c>
      <c r="Z8" s="238"/>
      <c r="AA8" s="238">
        <f>Y8*$C$8</f>
        <v>5164.3730851057808</v>
      </c>
      <c r="AB8" s="238"/>
      <c r="AC8" s="238">
        <f>AA8*$C$8</f>
        <v>5293.4824122334248</v>
      </c>
      <c r="AD8" s="238"/>
      <c r="AE8" s="238">
        <f>AC8*$C$8</f>
        <v>5425.8194725392596</v>
      </c>
      <c r="AF8" s="238"/>
      <c r="AG8" s="238">
        <f>AE8*$C$8</f>
        <v>5561.4649593527402</v>
      </c>
    </row>
    <row r="9" spans="1:34" s="225" customFormat="1" ht="14">
      <c r="B9" s="225" t="s">
        <v>849</v>
      </c>
      <c r="C9" s="254">
        <f>IF(Application!$D$211="Special Needs",0.1,0.05)</f>
        <v>0.05</v>
      </c>
      <c r="E9" s="237">
        <f>-E8*$C$9</f>
        <v>-196.8</v>
      </c>
      <c r="F9" s="237"/>
      <c r="G9" s="237">
        <f>-G8*$C$9</f>
        <v>-201.72</v>
      </c>
      <c r="H9" s="237"/>
      <c r="I9" s="237">
        <f>-I8*$C$9</f>
        <v>-206.76299999999998</v>
      </c>
      <c r="J9" s="237"/>
      <c r="K9" s="237">
        <f>-K8*$C$9</f>
        <v>-211.93207499999994</v>
      </c>
      <c r="L9" s="237"/>
      <c r="M9" s="237">
        <f>-M8*$C$9</f>
        <v>-217.23037687499993</v>
      </c>
      <c r="N9" s="237"/>
      <c r="O9" s="237">
        <f>-O8*$C$9</f>
        <v>-222.6611362968749</v>
      </c>
      <c r="P9" s="237"/>
      <c r="Q9" s="237">
        <f>-Q8*$C$9</f>
        <v>-228.22766470429676</v>
      </c>
      <c r="R9" s="237"/>
      <c r="S9" s="237">
        <f>-S8*$C$9</f>
        <v>-233.93335632190417</v>
      </c>
      <c r="T9" s="237"/>
      <c r="U9" s="237">
        <f>-U8*$C$9</f>
        <v>-239.78169022995172</v>
      </c>
      <c r="V9" s="237"/>
      <c r="W9" s="237">
        <f>-W8*$C$9</f>
        <v>-245.77623248570049</v>
      </c>
      <c r="X9" s="237"/>
      <c r="Y9" s="237">
        <f>-Y8*$C$9</f>
        <v>-251.92063829784297</v>
      </c>
      <c r="Z9" s="237"/>
      <c r="AA9" s="237">
        <f>-AA8*$C$9</f>
        <v>-258.21865425528904</v>
      </c>
      <c r="AB9" s="237"/>
      <c r="AC9" s="237">
        <f>-AC8*$C$9</f>
        <v>-264.67412061167124</v>
      </c>
      <c r="AD9" s="237"/>
      <c r="AE9" s="237">
        <f>-AE8*$C$9</f>
        <v>-271.29097362696297</v>
      </c>
      <c r="AF9" s="237"/>
      <c r="AG9" s="237">
        <f>-AG8*$C$9</f>
        <v>-278.07324796763703</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1453317.5999999999</v>
      </c>
      <c r="G11" s="239">
        <f>SUM(G4:G10)</f>
        <v>1489650.5399999998</v>
      </c>
      <c r="I11" s="239">
        <f>SUM(I4:I10)</f>
        <v>1526891.8034999997</v>
      </c>
      <c r="K11" s="239">
        <f>SUM(K4:K10)</f>
        <v>1565064.0985874997</v>
      </c>
      <c r="M11" s="239">
        <f>SUM(M4:M10)</f>
        <v>1604190.701052187</v>
      </c>
      <c r="O11" s="239">
        <f>SUM(O4:O10)</f>
        <v>1644295.4685784918</v>
      </c>
      <c r="Q11" s="239">
        <f>SUM(Q4:Q10)</f>
        <v>1685402.8552929538</v>
      </c>
      <c r="S11" s="239">
        <f>SUM(S4:S10)</f>
        <v>1727537.9266752775</v>
      </c>
      <c r="U11" s="239">
        <f>SUM(U4:U10)</f>
        <v>1770726.3748421592</v>
      </c>
      <c r="W11" s="239">
        <f>SUM(W4:W10)</f>
        <v>1814994.5342132133</v>
      </c>
      <c r="Y11" s="239">
        <f>SUM(Y4:Y10)</f>
        <v>1860369.3975685434</v>
      </c>
      <c r="AA11" s="239">
        <f>SUM(AA4:AA10)</f>
        <v>1906878.6325077566</v>
      </c>
      <c r="AC11" s="239">
        <f>SUM(AC4:AC10)</f>
        <v>1954550.5983204506</v>
      </c>
      <c r="AE11" s="239">
        <f>SUM(AE4:AE10)</f>
        <v>2003414.3632784616</v>
      </c>
      <c r="AG11" s="239">
        <f>SUM(AG4:AG10)</f>
        <v>2053499.7223604233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83000</v>
      </c>
      <c r="G15" s="235">
        <f>E15*$C$14</f>
        <v>85905</v>
      </c>
      <c r="I15" s="235">
        <f>G15*$C$14</f>
        <v>88911.674999999988</v>
      </c>
      <c r="K15" s="235">
        <f>I15*$C$14</f>
        <v>92023.583624999985</v>
      </c>
      <c r="M15" s="235">
        <f>K15*$C$14</f>
        <v>95244.409051874973</v>
      </c>
      <c r="O15" s="235">
        <f>M15*$C$14</f>
        <v>98577.963368690587</v>
      </c>
      <c r="Q15" s="235">
        <f>O15*$C$14</f>
        <v>102028.19208659475</v>
      </c>
      <c r="S15" s="235">
        <f>Q15*$C$14</f>
        <v>105599.17880962555</v>
      </c>
      <c r="U15" s="235">
        <f>S15*$C$14</f>
        <v>109295.15006796243</v>
      </c>
      <c r="W15" s="235">
        <f>U15*$C$14</f>
        <v>113120.4803203411</v>
      </c>
      <c r="Y15" s="235">
        <f>W15*$C$14</f>
        <v>117079.69713155302</v>
      </c>
      <c r="AA15" s="235">
        <f>Y15*$C$14</f>
        <v>121177.48653115737</v>
      </c>
      <c r="AC15" s="235">
        <f>AA15*$C$14</f>
        <v>125418.69855974786</v>
      </c>
      <c r="AE15" s="235">
        <f>AC15*$C$14</f>
        <v>129808.35300933903</v>
      </c>
      <c r="AG15" s="235">
        <f>AE15*$C$14</f>
        <v>134351.64536466589</v>
      </c>
    </row>
    <row r="16" spans="1:34" s="225" customFormat="1" ht="14">
      <c r="A16" s="225" t="s">
        <v>344</v>
      </c>
      <c r="C16" s="249"/>
      <c r="E16" s="238">
        <f>Application!W849</f>
        <v>73800</v>
      </c>
      <c r="F16" s="238"/>
      <c r="G16" s="238">
        <f t="shared" ref="G16:AG21" si="0">E16*$C$14</f>
        <v>76383</v>
      </c>
      <c r="H16" s="238"/>
      <c r="I16" s="238">
        <f t="shared" si="0"/>
        <v>79056.404999999999</v>
      </c>
      <c r="J16" s="238"/>
      <c r="K16" s="238">
        <f t="shared" si="0"/>
        <v>81823.379174999995</v>
      </c>
      <c r="L16" s="238"/>
      <c r="M16" s="238">
        <f t="shared" si="0"/>
        <v>84687.197446124992</v>
      </c>
      <c r="N16" s="238"/>
      <c r="O16" s="238">
        <f t="shared" si="0"/>
        <v>87651.249356739354</v>
      </c>
      <c r="P16" s="238"/>
      <c r="Q16" s="238">
        <f t="shared" si="0"/>
        <v>90719.043084225224</v>
      </c>
      <c r="R16" s="238"/>
      <c r="S16" s="238">
        <f t="shared" si="0"/>
        <v>93894.209592173094</v>
      </c>
      <c r="T16" s="238"/>
      <c r="U16" s="238">
        <f t="shared" si="0"/>
        <v>97180.506927899143</v>
      </c>
      <c r="V16" s="238"/>
      <c r="W16" s="238">
        <f t="shared" si="0"/>
        <v>100581.8246703756</v>
      </c>
      <c r="X16" s="238"/>
      <c r="Y16" s="238">
        <f t="shared" si="0"/>
        <v>104102.18853383874</v>
      </c>
      <c r="Z16" s="238"/>
      <c r="AA16" s="238">
        <f t="shared" si="0"/>
        <v>107745.76513252308</v>
      </c>
      <c r="AB16" s="238"/>
      <c r="AC16" s="238">
        <f t="shared" si="0"/>
        <v>111516.86691216138</v>
      </c>
      <c r="AD16" s="238"/>
      <c r="AE16" s="238">
        <f t="shared" si="0"/>
        <v>115419.95725408701</v>
      </c>
      <c r="AF16" s="238"/>
      <c r="AG16" s="238">
        <f t="shared" si="0"/>
        <v>119459.65575798006</v>
      </c>
    </row>
    <row r="17" spans="1:33" s="225" customFormat="1" ht="14">
      <c r="A17" s="225" t="s">
        <v>569</v>
      </c>
      <c r="C17" s="249"/>
      <c r="E17" s="238">
        <f>Application!W855</f>
        <v>77900</v>
      </c>
      <c r="F17" s="238"/>
      <c r="G17" s="238">
        <f t="shared" si="0"/>
        <v>80626.5</v>
      </c>
      <c r="H17" s="238"/>
      <c r="I17" s="238">
        <f t="shared" si="0"/>
        <v>83448.427499999991</v>
      </c>
      <c r="J17" s="238"/>
      <c r="K17" s="238">
        <f t="shared" si="0"/>
        <v>86369.122462499989</v>
      </c>
      <c r="L17" s="238"/>
      <c r="M17" s="238">
        <f t="shared" si="0"/>
        <v>89392.041748687479</v>
      </c>
      <c r="N17" s="238"/>
      <c r="O17" s="238">
        <f t="shared" si="0"/>
        <v>92520.763209891535</v>
      </c>
      <c r="P17" s="238"/>
      <c r="Q17" s="238">
        <f t="shared" si="0"/>
        <v>95758.989922237728</v>
      </c>
      <c r="R17" s="238"/>
      <c r="S17" s="238">
        <f t="shared" si="0"/>
        <v>99110.55456951604</v>
      </c>
      <c r="T17" s="238"/>
      <c r="U17" s="238">
        <f t="shared" si="0"/>
        <v>102579.4239794491</v>
      </c>
      <c r="V17" s="238"/>
      <c r="W17" s="238">
        <f t="shared" si="0"/>
        <v>106169.70381872982</v>
      </c>
      <c r="X17" s="238"/>
      <c r="Y17" s="238">
        <f t="shared" si="0"/>
        <v>109885.64345238535</v>
      </c>
      <c r="Z17" s="238"/>
      <c r="AA17" s="238">
        <f t="shared" si="0"/>
        <v>113731.64097321883</v>
      </c>
      <c r="AB17" s="238"/>
      <c r="AC17" s="238">
        <f t="shared" si="0"/>
        <v>117712.24840728148</v>
      </c>
      <c r="AD17" s="238"/>
      <c r="AE17" s="238">
        <f t="shared" si="0"/>
        <v>121832.17710153633</v>
      </c>
      <c r="AF17" s="238"/>
      <c r="AG17" s="238">
        <f t="shared" si="0"/>
        <v>126096.30330009009</v>
      </c>
    </row>
    <row r="18" spans="1:33" s="225" customFormat="1" ht="14">
      <c r="A18" s="225" t="s">
        <v>853</v>
      </c>
      <c r="C18" s="249"/>
      <c r="E18" s="238">
        <f>Application!W862</f>
        <v>175000</v>
      </c>
      <c r="F18" s="238"/>
      <c r="G18" s="238">
        <f t="shared" si="0"/>
        <v>181125</v>
      </c>
      <c r="H18" s="238"/>
      <c r="I18" s="238">
        <f t="shared" si="0"/>
        <v>187464.375</v>
      </c>
      <c r="J18" s="238"/>
      <c r="K18" s="238">
        <f t="shared" si="0"/>
        <v>194025.62812499999</v>
      </c>
      <c r="L18" s="238"/>
      <c r="M18" s="238">
        <f t="shared" si="0"/>
        <v>200816.52510937498</v>
      </c>
      <c r="N18" s="238"/>
      <c r="O18" s="238">
        <f t="shared" si="0"/>
        <v>207845.10348820308</v>
      </c>
      <c r="P18" s="238"/>
      <c r="Q18" s="238">
        <f t="shared" si="0"/>
        <v>215119.68211029016</v>
      </c>
      <c r="R18" s="238"/>
      <c r="S18" s="238">
        <f t="shared" si="0"/>
        <v>222648.8709841503</v>
      </c>
      <c r="T18" s="238"/>
      <c r="U18" s="238">
        <f t="shared" si="0"/>
        <v>230441.58146859554</v>
      </c>
      <c r="V18" s="238"/>
      <c r="W18" s="238">
        <f t="shared" si="0"/>
        <v>238507.03681999637</v>
      </c>
      <c r="X18" s="238"/>
      <c r="Y18" s="238">
        <f t="shared" si="0"/>
        <v>246854.78310869623</v>
      </c>
      <c r="Z18" s="238"/>
      <c r="AA18" s="238">
        <f t="shared" si="0"/>
        <v>255494.70051750058</v>
      </c>
      <c r="AB18" s="238"/>
      <c r="AC18" s="238">
        <f t="shared" si="0"/>
        <v>264437.01503561309</v>
      </c>
      <c r="AD18" s="238"/>
      <c r="AE18" s="238">
        <f t="shared" si="0"/>
        <v>273692.31056185951</v>
      </c>
      <c r="AF18" s="238"/>
      <c r="AG18" s="238">
        <f t="shared" si="0"/>
        <v>283271.54143152456</v>
      </c>
    </row>
    <row r="19" spans="1:33" s="225" customFormat="1" ht="14">
      <c r="A19" s="225" t="s">
        <v>155</v>
      </c>
      <c r="C19" s="249"/>
      <c r="E19" s="238">
        <f>Application!W863</f>
        <v>123000</v>
      </c>
      <c r="F19" s="238"/>
      <c r="G19" s="238">
        <f t="shared" si="0"/>
        <v>127304.99999999999</v>
      </c>
      <c r="H19" s="238"/>
      <c r="I19" s="238">
        <f t="shared" si="0"/>
        <v>131760.67499999999</v>
      </c>
      <c r="J19" s="238"/>
      <c r="K19" s="238">
        <f t="shared" si="0"/>
        <v>136372.29862499997</v>
      </c>
      <c r="L19" s="238"/>
      <c r="M19" s="238">
        <f t="shared" si="0"/>
        <v>141145.32907687494</v>
      </c>
      <c r="N19" s="238"/>
      <c r="O19" s="238">
        <f t="shared" si="0"/>
        <v>146085.41559456557</v>
      </c>
      <c r="P19" s="238"/>
      <c r="Q19" s="238">
        <f t="shared" si="0"/>
        <v>151198.40514037534</v>
      </c>
      <c r="R19" s="238"/>
      <c r="S19" s="238">
        <f t="shared" si="0"/>
        <v>156490.34932028846</v>
      </c>
      <c r="T19" s="238"/>
      <c r="U19" s="238">
        <f t="shared" si="0"/>
        <v>161967.51154649854</v>
      </c>
      <c r="V19" s="238"/>
      <c r="W19" s="238">
        <f t="shared" si="0"/>
        <v>167636.37445062597</v>
      </c>
      <c r="X19" s="238"/>
      <c r="Y19" s="238">
        <f t="shared" si="0"/>
        <v>173503.64755639786</v>
      </c>
      <c r="Z19" s="238"/>
      <c r="AA19" s="238">
        <f t="shared" si="0"/>
        <v>179576.27522087176</v>
      </c>
      <c r="AB19" s="238"/>
      <c r="AC19" s="238">
        <f t="shared" si="0"/>
        <v>185861.44485360227</v>
      </c>
      <c r="AD19" s="238"/>
      <c r="AE19" s="238">
        <f t="shared" si="0"/>
        <v>192366.59542347834</v>
      </c>
      <c r="AF19" s="238"/>
      <c r="AG19" s="238">
        <f t="shared" si="0"/>
        <v>199099.42626330006</v>
      </c>
    </row>
    <row r="20" spans="1:33" s="225" customFormat="1" ht="14">
      <c r="A20" s="225" t="s">
        <v>390</v>
      </c>
      <c r="C20" s="249"/>
      <c r="E20" s="238">
        <f>Application!W872</f>
        <v>105643</v>
      </c>
      <c r="F20" s="238"/>
      <c r="G20" s="238">
        <f t="shared" si="0"/>
        <v>109340.50499999999</v>
      </c>
      <c r="H20" s="238"/>
      <c r="I20" s="238">
        <f t="shared" si="0"/>
        <v>113167.42267499998</v>
      </c>
      <c r="J20" s="238"/>
      <c r="K20" s="238">
        <f t="shared" si="0"/>
        <v>117128.28246862497</v>
      </c>
      <c r="L20" s="238"/>
      <c r="M20" s="238">
        <f t="shared" si="0"/>
        <v>121227.77235502683</v>
      </c>
      <c r="N20" s="238"/>
      <c r="O20" s="238">
        <f t="shared" si="0"/>
        <v>125470.74438745275</v>
      </c>
      <c r="P20" s="238"/>
      <c r="Q20" s="238">
        <f t="shared" si="0"/>
        <v>129862.22044101359</v>
      </c>
      <c r="R20" s="238"/>
      <c r="S20" s="238">
        <f t="shared" si="0"/>
        <v>134407.39815644905</v>
      </c>
      <c r="T20" s="238"/>
      <c r="U20" s="238">
        <f t="shared" si="0"/>
        <v>139111.65709192475</v>
      </c>
      <c r="V20" s="238"/>
      <c r="W20" s="238">
        <f t="shared" si="0"/>
        <v>143980.5650901421</v>
      </c>
      <c r="X20" s="238"/>
      <c r="Y20" s="238">
        <f t="shared" si="0"/>
        <v>149019.88486829706</v>
      </c>
      <c r="Z20" s="238"/>
      <c r="AA20" s="238">
        <f t="shared" si="0"/>
        <v>154235.58083868746</v>
      </c>
      <c r="AB20" s="238"/>
      <c r="AC20" s="238">
        <f t="shared" si="0"/>
        <v>159633.8261680415</v>
      </c>
      <c r="AD20" s="238"/>
      <c r="AE20" s="238">
        <f t="shared" si="0"/>
        <v>165221.01008392294</v>
      </c>
      <c r="AF20" s="238"/>
      <c r="AG20" s="238">
        <f t="shared" si="0"/>
        <v>171003.74543686022</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638343</v>
      </c>
      <c r="G22" s="239">
        <f>SUM(G15:G21)</f>
        <v>660685.005</v>
      </c>
      <c r="I22" s="239">
        <f>SUM(I15:I21)</f>
        <v>683808.98017499992</v>
      </c>
      <c r="K22" s="239">
        <f>SUM(K15:K21)</f>
        <v>707742.29448112496</v>
      </c>
      <c r="M22" s="239">
        <f>SUM(M15:M21)</f>
        <v>732513.2747879643</v>
      </c>
      <c r="O22" s="239">
        <f>SUM(O15:O21)</f>
        <v>758151.23940554284</v>
      </c>
      <c r="Q22" s="239">
        <f>SUM(Q15:Q21)</f>
        <v>784686.53278473683</v>
      </c>
      <c r="S22" s="239">
        <f>SUM(S15:S21)</f>
        <v>812150.56143220246</v>
      </c>
      <c r="U22" s="239">
        <f>SUM(U15:U21)</f>
        <v>840575.83108232939</v>
      </c>
      <c r="W22" s="239">
        <f>SUM(W15:W21)</f>
        <v>869995.98517021094</v>
      </c>
      <c r="Y22" s="239">
        <f>SUM(Y15:Y21)</f>
        <v>900445.84465116821</v>
      </c>
      <c r="AA22" s="239">
        <f>SUM(AA15:AA21)</f>
        <v>931961.44921395916</v>
      </c>
      <c r="AC22" s="239">
        <f>SUM(AC15:AC21)</f>
        <v>964580.09993644757</v>
      </c>
      <c r="AE22" s="239">
        <f>SUM(AE15:AE21)</f>
        <v>998340.40343422303</v>
      </c>
      <c r="AG22" s="239">
        <f>SUM(AG15:AG21)</f>
        <v>1033282.3175544208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
      <c r="A28" s="225" t="s">
        <v>857</v>
      </c>
      <c r="C28" s="253"/>
      <c r="E28" s="238">
        <f>Application!AC889</f>
        <v>32800</v>
      </c>
      <c r="F28" s="238"/>
      <c r="G28" s="238">
        <f>$E$28</f>
        <v>32800</v>
      </c>
      <c r="H28" s="238"/>
      <c r="I28" s="238">
        <f>$E$28</f>
        <v>32800</v>
      </c>
      <c r="J28" s="238"/>
      <c r="K28" s="238">
        <f>$E$28</f>
        <v>32800</v>
      </c>
      <c r="L28" s="238"/>
      <c r="M28" s="238">
        <f>$E$28</f>
        <v>32800</v>
      </c>
      <c r="N28" s="238"/>
      <c r="O28" s="238">
        <f>$E$28</f>
        <v>32800</v>
      </c>
      <c r="P28" s="238"/>
      <c r="Q28" s="238">
        <f>$E$28</f>
        <v>32800</v>
      </c>
      <c r="R28" s="238"/>
      <c r="S28" s="238">
        <f>$E$28</f>
        <v>32800</v>
      </c>
      <c r="T28" s="238"/>
      <c r="U28" s="238">
        <f>$E$28</f>
        <v>32800</v>
      </c>
      <c r="V28" s="238"/>
      <c r="W28" s="238">
        <f>$E$28</f>
        <v>32800</v>
      </c>
      <c r="X28" s="238"/>
      <c r="Y28" s="238">
        <f>$E$28</f>
        <v>32800</v>
      </c>
      <c r="Z28" s="238"/>
      <c r="AA28" s="238">
        <f>$E$28</f>
        <v>32800</v>
      </c>
      <c r="AB28" s="238"/>
      <c r="AC28" s="238">
        <f>$E$28</f>
        <v>32800</v>
      </c>
      <c r="AD28" s="238"/>
      <c r="AE28" s="238">
        <f>$E$28</f>
        <v>32800</v>
      </c>
      <c r="AF28" s="238"/>
      <c r="AG28" s="238">
        <f>$E$28</f>
        <v>32800</v>
      </c>
    </row>
    <row r="29" spans="1:33" s="225" customFormat="1" ht="14">
      <c r="A29" s="225" t="s">
        <v>1869</v>
      </c>
      <c r="C29" s="253"/>
      <c r="E29" s="238">
        <f>Application!AC890</f>
        <v>6139</v>
      </c>
      <c r="F29" s="238"/>
      <c r="G29" s="238">
        <f>$E$29</f>
        <v>6139</v>
      </c>
      <c r="H29" s="238"/>
      <c r="I29" s="238">
        <f>$E$29</f>
        <v>6139</v>
      </c>
      <c r="J29" s="238"/>
      <c r="K29" s="238">
        <f>$E$29</f>
        <v>6139</v>
      </c>
      <c r="L29" s="238"/>
      <c r="M29" s="238">
        <f>$E$29</f>
        <v>6139</v>
      </c>
      <c r="N29" s="238"/>
      <c r="O29" s="238">
        <f>$E$29</f>
        <v>6139</v>
      </c>
      <c r="P29" s="238"/>
      <c r="Q29" s="238">
        <f>$E$29</f>
        <v>6139</v>
      </c>
      <c r="R29" s="238"/>
      <c r="S29" s="238">
        <f>$E$29</f>
        <v>6139</v>
      </c>
      <c r="T29" s="238"/>
      <c r="U29" s="238">
        <f>$E$29</f>
        <v>6139</v>
      </c>
      <c r="V29" s="238"/>
      <c r="W29" s="238">
        <f>$E$29</f>
        <v>6139</v>
      </c>
      <c r="X29" s="238"/>
      <c r="Y29" s="238">
        <f>$E$29</f>
        <v>6139</v>
      </c>
      <c r="Z29" s="238"/>
      <c r="AA29" s="238">
        <f>$E$29</f>
        <v>6139</v>
      </c>
      <c r="AB29" s="238"/>
      <c r="AC29" s="238">
        <f>$E$29</f>
        <v>6139</v>
      </c>
      <c r="AD29" s="238"/>
      <c r="AE29" s="238">
        <f>$E$29</f>
        <v>6139</v>
      </c>
      <c r="AF29" s="238"/>
      <c r="AG29" s="238">
        <f>$E$29</f>
        <v>6139</v>
      </c>
    </row>
    <row r="30" spans="1:33" s="225" customFormat="1" ht="14">
      <c r="A30" s="225" t="s">
        <v>855</v>
      </c>
      <c r="C30" s="253">
        <v>1.02</v>
      </c>
      <c r="E30" s="238">
        <f>Application!AC891</f>
        <v>21825</v>
      </c>
      <c r="F30" s="238"/>
      <c r="G30" s="238">
        <f>E30*$C$30</f>
        <v>22261.5</v>
      </c>
      <c r="H30" s="238"/>
      <c r="I30" s="238">
        <f>G30*$C$30</f>
        <v>22706.73</v>
      </c>
      <c r="J30" s="238"/>
      <c r="K30" s="238">
        <f>I30*$C$30</f>
        <v>23160.864600000001</v>
      </c>
      <c r="L30" s="238"/>
      <c r="M30" s="238">
        <f>K30*$C$30</f>
        <v>23624.081892000002</v>
      </c>
      <c r="N30" s="238"/>
      <c r="O30" s="238">
        <f>M30*$C$30</f>
        <v>24096.563529840001</v>
      </c>
      <c r="P30" s="238"/>
      <c r="Q30" s="238">
        <f>O30*$C$30</f>
        <v>24578.494800436802</v>
      </c>
      <c r="R30" s="238"/>
      <c r="S30" s="238">
        <f>Q30*$C$30</f>
        <v>25070.064696445537</v>
      </c>
      <c r="T30" s="238"/>
      <c r="U30" s="238">
        <f>S30*$C$30</f>
        <v>25571.465990374447</v>
      </c>
      <c r="V30" s="238"/>
      <c r="W30" s="238">
        <f>U30*$C$30</f>
        <v>26082.895310181935</v>
      </c>
      <c r="X30" s="238"/>
      <c r="Y30" s="238">
        <f>W30*$C$30</f>
        <v>26604.553216385575</v>
      </c>
      <c r="Z30" s="238"/>
      <c r="AA30" s="238">
        <f>Y30*$C$30</f>
        <v>27136.644280713288</v>
      </c>
      <c r="AB30" s="238"/>
      <c r="AC30" s="238">
        <f>AA30*$C$30</f>
        <v>27679.377166327555</v>
      </c>
      <c r="AD30" s="238"/>
      <c r="AE30" s="238">
        <f>AC30*$C$30</f>
        <v>28232.964709654105</v>
      </c>
      <c r="AF30" s="238"/>
      <c r="AG30" s="238">
        <f>AE30*$C$30</f>
        <v>28797.624003847188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729107</v>
      </c>
      <c r="G35" s="239">
        <f>SUM(G22:G33)</f>
        <v>752935.505</v>
      </c>
      <c r="I35" s="239">
        <f>SUM(I22:I33)</f>
        <v>777591.4601749999</v>
      </c>
      <c r="K35" s="239">
        <f>SUM(K22:K33)</f>
        <v>803103.69533112494</v>
      </c>
      <c r="M35" s="239">
        <f>SUM(M22:M33)</f>
        <v>829502.04669871437</v>
      </c>
      <c r="O35" s="239">
        <f>SUM(O22:O33)</f>
        <v>856817.39210478903</v>
      </c>
      <c r="Q35" s="239">
        <f>SUM(Q22:Q33)</f>
        <v>885081.68737550906</v>
      </c>
      <c r="S35" s="239">
        <f>SUM(S22:S33)</f>
        <v>914328.00401164521</v>
      </c>
      <c r="U35" s="239">
        <f>SUM(U22:U33)</f>
        <v>944590.56818160589</v>
      </c>
      <c r="W35" s="239">
        <f>SUM(W22:W33)</f>
        <v>975904.80107810651</v>
      </c>
      <c r="Y35" s="239">
        <f>SUM(Y22:Y33)</f>
        <v>1008307.3606861874</v>
      </c>
      <c r="AA35" s="239">
        <f>SUM(AA22:AA33)</f>
        <v>1041836.1850119582</v>
      </c>
      <c r="AC35" s="239">
        <f>SUM(AC22:AC33)</f>
        <v>1076530.5368231661</v>
      </c>
      <c r="AE35" s="239">
        <f>SUM(AE22:AE33)</f>
        <v>1112431.0499544817</v>
      </c>
      <c r="AG35" s="239">
        <f>SUM(AG22:AG33)</f>
        <v>1149579.7772322434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724210.59999999986</v>
      </c>
      <c r="G37" s="239">
        <f>G11-G35</f>
        <v>736715.0349999998</v>
      </c>
      <c r="I37" s="239">
        <f>I11-I35</f>
        <v>749300.34332499979</v>
      </c>
      <c r="K37" s="239">
        <f>K11-K35</f>
        <v>761960.40325637476</v>
      </c>
      <c r="M37" s="239">
        <f>M11-M35</f>
        <v>774688.65435347264</v>
      </c>
      <c r="O37" s="239">
        <f>O11-O35</f>
        <v>787478.07647370279</v>
      </c>
      <c r="Q37" s="239">
        <f>Q11-Q35</f>
        <v>800321.16791744472</v>
      </c>
      <c r="S37" s="239">
        <f>S11-S35</f>
        <v>813209.92266363231</v>
      </c>
      <c r="U37" s="239">
        <f>U11-U35</f>
        <v>826135.80666055332</v>
      </c>
      <c r="W37" s="239">
        <f>W11-W35</f>
        <v>839089.73313510674</v>
      </c>
      <c r="Y37" s="239">
        <f>Y11-Y35</f>
        <v>852062.03688235604</v>
      </c>
      <c r="AA37" s="239">
        <f>AA11-AA35</f>
        <v>865042.44749579835</v>
      </c>
      <c r="AC37" s="239">
        <f>AC11-AC35</f>
        <v>878020.06149728457</v>
      </c>
      <c r="AE37" s="239">
        <f>AE11-AE35</f>
        <v>890983.31332397996</v>
      </c>
      <c r="AG37" s="239">
        <f>AG11-AG35</f>
        <v>903919.94512817985</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Conventional Perm Loan</v>
      </c>
      <c r="B40" s="242"/>
      <c r="C40" s="236"/>
      <c r="E40" s="238">
        <f>Application!AF627</f>
        <v>628975</v>
      </c>
      <c r="F40" s="238"/>
      <c r="G40" s="238">
        <f>$E$40</f>
        <v>628975</v>
      </c>
      <c r="H40" s="238"/>
      <c r="I40" s="238">
        <f>$E$40</f>
        <v>628975</v>
      </c>
      <c r="J40" s="238"/>
      <c r="K40" s="238">
        <f>$E$40</f>
        <v>628975</v>
      </c>
      <c r="L40" s="238"/>
      <c r="M40" s="238">
        <f>$E$40</f>
        <v>628975</v>
      </c>
      <c r="N40" s="238"/>
      <c r="O40" s="238">
        <f>$E$40</f>
        <v>628975</v>
      </c>
      <c r="P40" s="238"/>
      <c r="Q40" s="238">
        <f>$E$40</f>
        <v>628975</v>
      </c>
      <c r="R40" s="238"/>
      <c r="S40" s="238">
        <f>$E$40</f>
        <v>628975</v>
      </c>
      <c r="T40" s="238"/>
      <c r="U40" s="238">
        <f>$E$40</f>
        <v>628975</v>
      </c>
      <c r="V40" s="238"/>
      <c r="W40" s="238">
        <f>$E$40</f>
        <v>628975</v>
      </c>
      <c r="X40" s="238"/>
      <c r="Y40" s="238">
        <f>$E$40</f>
        <v>628975</v>
      </c>
      <c r="Z40" s="238"/>
      <c r="AA40" s="238">
        <f>$E$40</f>
        <v>628975</v>
      </c>
      <c r="AB40" s="238"/>
      <c r="AC40" s="238">
        <f>$E$40</f>
        <v>628975</v>
      </c>
      <c r="AD40" s="238"/>
      <c r="AE40" s="238">
        <f>$E$40</f>
        <v>628975</v>
      </c>
      <c r="AF40" s="238"/>
      <c r="AG40" s="238">
        <f>$E$40</f>
        <v>628975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628975</v>
      </c>
      <c r="G43" s="239">
        <f>SUM(G40:G42)</f>
        <v>628975</v>
      </c>
      <c r="I43" s="239">
        <f>SUM(I40:I42)</f>
        <v>628975</v>
      </c>
      <c r="K43" s="239">
        <f>SUM(K40:K42)</f>
        <v>628975</v>
      </c>
      <c r="M43" s="239">
        <f>SUM(M40:M42)</f>
        <v>628975</v>
      </c>
      <c r="O43" s="239">
        <f>SUM(O40:O42)</f>
        <v>628975</v>
      </c>
      <c r="Q43" s="239">
        <f>SUM(Q40:Q42)</f>
        <v>628975</v>
      </c>
      <c r="S43" s="239">
        <f>SUM(S40:S42)</f>
        <v>628975</v>
      </c>
      <c r="U43" s="239">
        <f>SUM(U40:U42)</f>
        <v>628975</v>
      </c>
      <c r="W43" s="239">
        <f>SUM(W40:W42)</f>
        <v>628975</v>
      </c>
      <c r="Y43" s="239">
        <f>SUM(Y40:Y42)</f>
        <v>628975</v>
      </c>
      <c r="AA43" s="239">
        <f>SUM(AA40:AA42)</f>
        <v>628975</v>
      </c>
      <c r="AC43" s="239">
        <f>SUM(AC40:AC42)</f>
        <v>628975</v>
      </c>
      <c r="AE43" s="239">
        <f>SUM(AE40:AE42)</f>
        <v>628975</v>
      </c>
      <c r="AG43" s="239">
        <f>SUM(AG40:AG42)</f>
        <v>628975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95235.59999999986</v>
      </c>
      <c r="G45" s="239">
        <f>G37-G43</f>
        <v>107740.0349999998</v>
      </c>
      <c r="I45" s="239">
        <f>I37-I43</f>
        <v>120325.34332499979</v>
      </c>
      <c r="K45" s="239">
        <f>K37-K43</f>
        <v>132985.40325637476</v>
      </c>
      <c r="M45" s="239">
        <f>M37-M43</f>
        <v>145713.65435347264</v>
      </c>
      <c r="O45" s="239">
        <f>O37-O43</f>
        <v>158503.07647370279</v>
      </c>
      <c r="Q45" s="239">
        <f>Q37-Q43</f>
        <v>171346.16791744472</v>
      </c>
      <c r="S45" s="239">
        <f>S37-S43</f>
        <v>184234.92266363231</v>
      </c>
      <c r="U45" s="239">
        <f>U37-U43</f>
        <v>197160.80666055332</v>
      </c>
      <c r="W45" s="239">
        <f>W37-W43</f>
        <v>210114.73313510674</v>
      </c>
      <c r="Y45" s="239">
        <f>Y37-Y43</f>
        <v>223087.03688235604</v>
      </c>
      <c r="AA45" s="239">
        <f>AA37-AA43</f>
        <v>236067.44749579835</v>
      </c>
      <c r="AC45" s="239">
        <f>AC37-AC43</f>
        <v>249045.06149728457</v>
      </c>
      <c r="AE45" s="239">
        <f>AE37-AE43</f>
        <v>262008.31332397996</v>
      </c>
      <c r="AG45" s="239">
        <f>AG37-AG43</f>
        <v>274944.94512817985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6.2253302375199937E-2</v>
      </c>
      <c r="G47" s="243">
        <f>G45/(G4+G6+G8)</f>
        <v>6.8709425802644844E-2</v>
      </c>
      <c r="I47" s="243">
        <f>I45/(I4+I6+I8)</f>
        <v>7.4863900570247457E-2</v>
      </c>
      <c r="K47" s="243">
        <f>K45/(K4+K6+K8)</f>
        <v>8.0722657434655121E-2</v>
      </c>
      <c r="M47" s="243">
        <f>M45/(M4+M6+M8)</f>
        <v>8.6291468679505642E-2</v>
      </c>
      <c r="O47" s="243">
        <f>O45/(O4+O6+O8)</f>
        <v>9.1575951845317458E-2</v>
      </c>
      <c r="Q47" s="243">
        <f>Q45/(Q4+Q6+Q8)</f>
        <v>9.6581573367085907E-2</v>
      </c>
      <c r="S47" s="243">
        <f>S45/(S4+S6+S8)</f>
        <v>0.10131365212183241</v>
      </c>
      <c r="U47" s="243">
        <f>U45/(U4+U6+U8)</f>
        <v>0.10577736288827891</v>
      </c>
      <c r="W47" s="243">
        <f>W45/(W4+W6+W8)</f>
        <v>0.10997773972078678</v>
      </c>
      <c r="Y47" s="243">
        <f>Y45/(Y4+Y6+Y8)</f>
        <v>0.11391967923963327</v>
      </c>
      <c r="AA47" s="243">
        <f>AA45/(AA4+AA6+AA8)</f>
        <v>0.11760794383965398</v>
      </c>
      <c r="AC47" s="243">
        <f>AC45/(AC4+AC6+AC8)</f>
        <v>0.12104716481923007</v>
      </c>
      <c r="AE47" s="243">
        <f>AE45/(AE4+AE6+AE8)</f>
        <v>0.12424184543154559</v>
      </c>
      <c r="AG47" s="243">
        <f>AG45/(AG4+AG6+AG8)</f>
        <v>0.12719636386000269</v>
      </c>
    </row>
    <row r="48" spans="1:33" s="243" customFormat="1" ht="14">
      <c r="A48" s="243" t="s">
        <v>863</v>
      </c>
      <c r="C48" s="236"/>
      <c r="E48" s="243">
        <f>E45/E43</f>
        <v>0.15141396716880617</v>
      </c>
      <c r="G48" s="243">
        <f>G45/G43</f>
        <v>0.17129462220278993</v>
      </c>
      <c r="I48" s="243">
        <f>I45/I43</f>
        <v>0.19130385679081011</v>
      </c>
      <c r="K48" s="243">
        <f>K45/K43</f>
        <v>0.21143193808398547</v>
      </c>
      <c r="M48" s="243">
        <f>M45/M43</f>
        <v>0.23166843571441256</v>
      </c>
      <c r="O48" s="243">
        <f>O45/O43</f>
        <v>0.25200218843944955</v>
      </c>
      <c r="Q48" s="243">
        <f>Q45/Q43</f>
        <v>0.27242126939456213</v>
      </c>
      <c r="S48" s="243">
        <f>S45/S43</f>
        <v>0.29291294990044486</v>
      </c>
      <c r="U48" s="243">
        <f>U45/U43</f>
        <v>0.31346366176804058</v>
      </c>
      <c r="W48" s="243">
        <f>W45/W43</f>
        <v>0.33405895804301722</v>
      </c>
      <c r="Y48" s="243">
        <f>Y45/Y43</f>
        <v>0.35468347212902906</v>
      </c>
      <c r="AA48" s="243">
        <f>AA45/AA43</f>
        <v>0.37532087522683466</v>
      </c>
      <c r="AC48" s="243">
        <f>AC45/AC43</f>
        <v>0.39595383202398277</v>
      </c>
      <c r="AE48" s="243">
        <f>AE45/AE43</f>
        <v>0.41656395456731982</v>
      </c>
      <c r="AG48" s="243">
        <f>AG45/AG43</f>
        <v>0.43713175424807005</v>
      </c>
    </row>
    <row r="49" spans="1:35" s="244" customFormat="1" ht="14">
      <c r="A49" s="244" t="s">
        <v>861</v>
      </c>
      <c r="C49" s="245"/>
      <c r="E49" s="244">
        <f>E37/E43</f>
        <v>1.1514139671688062</v>
      </c>
      <c r="G49" s="244">
        <f>G37/G43</f>
        <v>1.17129462220279</v>
      </c>
      <c r="I49" s="244">
        <f>I37/I43</f>
        <v>1.1913038567908101</v>
      </c>
      <c r="K49" s="244">
        <f>K37/K43</f>
        <v>1.2114319380839855</v>
      </c>
      <c r="M49" s="244">
        <f>M37/M43</f>
        <v>1.2316684357144125</v>
      </c>
      <c r="O49" s="244">
        <f>O37/O43</f>
        <v>1.2520021884394497</v>
      </c>
      <c r="Q49" s="244">
        <f>Q37/Q43</f>
        <v>1.2724212693945622</v>
      </c>
      <c r="S49" s="244">
        <f>S37/S43</f>
        <v>1.2929129499004448</v>
      </c>
      <c r="U49" s="244">
        <f>U37/U43</f>
        <v>1.3134636617680406</v>
      </c>
      <c r="W49" s="244">
        <f>W37/W43</f>
        <v>1.3340589580430171</v>
      </c>
      <c r="Y49" s="244">
        <f>Y37/Y43</f>
        <v>1.3546834721290291</v>
      </c>
      <c r="AA49" s="244">
        <f>AA37/AA43</f>
        <v>1.3753208752268347</v>
      </c>
      <c r="AC49" s="244">
        <f>AC37/AC43</f>
        <v>1.3959538320239828</v>
      </c>
      <c r="AE49" s="244">
        <f>AE37/AE43</f>
        <v>1.4165639545673199</v>
      </c>
      <c r="AG49" s="244">
        <f>AG37/AG43</f>
        <v>1.4371317542480699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1290</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95235.59999999986</v>
      </c>
      <c r="G60" s="997">
        <f>G45-G58</f>
        <v>107740.0349999998</v>
      </c>
      <c r="I60" s="997">
        <f>I45-I58</f>
        <v>120325.34332499979</v>
      </c>
      <c r="K60" s="997">
        <f>K45-K58</f>
        <v>132985.40325637476</v>
      </c>
      <c r="M60" s="997">
        <f>M45-M58</f>
        <v>145713.65435347264</v>
      </c>
      <c r="O60" s="997">
        <f>O45-O58</f>
        <v>158503.07647370279</v>
      </c>
      <c r="Q60" s="997">
        <f>Q45-Q58</f>
        <v>171346.16791744472</v>
      </c>
      <c r="S60" s="997">
        <f>S45-S58</f>
        <v>184234.92266363231</v>
      </c>
      <c r="U60" s="997">
        <f>U45-U58</f>
        <v>197160.80666055332</v>
      </c>
      <c r="W60" s="997">
        <f>W45-W58</f>
        <v>210114.73313510674</v>
      </c>
      <c r="Y60" s="997">
        <f>Y45-Y58</f>
        <v>223087.03688235604</v>
      </c>
      <c r="AA60" s="997">
        <f>AA45-AA58</f>
        <v>236067.44749579835</v>
      </c>
      <c r="AC60" s="997">
        <f>AC45-AC58</f>
        <v>249045.06149728457</v>
      </c>
      <c r="AE60" s="997">
        <f>AE45-AE58</f>
        <v>262008.31332397996</v>
      </c>
      <c r="AG60" s="997">
        <f>AG45-AG58</f>
        <v>274944.94512817985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47617.79999999993</v>
      </c>
      <c r="G62" s="997">
        <f>G60*$C$62</f>
        <v>53870.0174999999</v>
      </c>
      <c r="I62" s="997">
        <f>I60*$C$62</f>
        <v>60162.671662499895</v>
      </c>
      <c r="K62" s="997">
        <f>K60*$C$62</f>
        <v>66492.70162818738</v>
      </c>
      <c r="M62" s="997">
        <f>M60*$C$62</f>
        <v>72856.827176736319</v>
      </c>
      <c r="O62" s="997">
        <f>O60*$C$62</f>
        <v>79251.538236851397</v>
      </c>
      <c r="Q62" s="997">
        <f>Q60*$C$62</f>
        <v>85673.08395872236</v>
      </c>
      <c r="S62" s="997">
        <f>S60*$C$62</f>
        <v>92117.461331816157</v>
      </c>
      <c r="U62" s="997">
        <f>U60*$C$62</f>
        <v>98580.403330276662</v>
      </c>
      <c r="W62" s="997">
        <f>W60*$C$62</f>
        <v>105057.36656755337</v>
      </c>
      <c r="Y62" s="997">
        <f>Y60*$C$62</f>
        <v>111543.51844117802</v>
      </c>
      <c r="AA62" s="997">
        <f>AA60*$C$62</f>
        <v>118033.72374789917</v>
      </c>
      <c r="AC62" s="997">
        <f>AC60*$C$62</f>
        <v>124522.53074864228</v>
      </c>
      <c r="AE62" s="997">
        <f>AE60*$C$62</f>
        <v>131004.15666198998</v>
      </c>
      <c r="AG62" s="997">
        <f>AG60*$C$62</f>
        <v>137472.47256408993</v>
      </c>
    </row>
    <row r="63" spans="1:35" s="997" customFormat="1">
      <c r="A63" s="2680" t="s">
        <v>1290</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23808.899999999965</v>
      </c>
      <c r="G66" s="995">
        <f>G60*$C$65</f>
        <v>26935.00874999995</v>
      </c>
      <c r="I66" s="995">
        <f>I60*$C$65</f>
        <v>30081.335831249948</v>
      </c>
      <c r="K66" s="995">
        <f>K60*$C$65</f>
        <v>33246.35081409369</v>
      </c>
      <c r="M66" s="995">
        <f>M60*$C$65</f>
        <v>36428.413588368159</v>
      </c>
      <c r="O66" s="995">
        <f>O60*$C$65</f>
        <v>39625.769118425698</v>
      </c>
      <c r="Q66" s="995">
        <f>Q60*$C$65</f>
        <v>42836.54197936118</v>
      </c>
      <c r="S66" s="995">
        <f>S60*$C$65</f>
        <v>46058.730665908079</v>
      </c>
      <c r="U66" s="995">
        <f>U60*$C$65</f>
        <v>49290.201665138331</v>
      </c>
      <c r="W66" s="995">
        <f>W60*$C$65</f>
        <v>52528.683283776685</v>
      </c>
      <c r="Y66" s="995">
        <f>Y60*$C$65</f>
        <v>55771.759220589011</v>
      </c>
      <c r="AA66" s="995">
        <f>AA60*$C$65</f>
        <v>59016.861873949587</v>
      </c>
      <c r="AC66" s="995">
        <f>AC60*$C$65</f>
        <v>62261.265374321141</v>
      </c>
      <c r="AE66" s="995">
        <f>AE60*$C$65</f>
        <v>65502.078330994991</v>
      </c>
      <c r="AG66" s="995">
        <f>AG60*$C$65</f>
        <v>68736.236282044963</v>
      </c>
    </row>
    <row r="67" spans="1:35" s="995" customFormat="1">
      <c r="A67" s="1000"/>
      <c r="B67" s="1000"/>
      <c r="C67" s="1005"/>
      <c r="E67" s="999">
        <f>$E60*$C$65</f>
        <v>23808.899999999965</v>
      </c>
      <c r="G67" s="995">
        <f>G60*$C$65</f>
        <v>26935.00874999995</v>
      </c>
      <c r="I67" s="995">
        <f>I60*$C$65</f>
        <v>30081.335831249948</v>
      </c>
      <c r="K67" s="995">
        <f>K60*$C$65</f>
        <v>33246.35081409369</v>
      </c>
      <c r="M67" s="995">
        <f>M60*$C$65</f>
        <v>36428.413588368159</v>
      </c>
      <c r="O67" s="995">
        <f>O60*$C$65</f>
        <v>39625.769118425698</v>
      </c>
      <c r="Q67" s="995">
        <f>Q60*$C$65</f>
        <v>42836.54197936118</v>
      </c>
      <c r="S67" s="995">
        <f>S60*$C$65</f>
        <v>46058.730665908079</v>
      </c>
      <c r="U67" s="995">
        <f>U60*$C$65</f>
        <v>49290.201665138331</v>
      </c>
      <c r="W67" s="995">
        <f>W60*$C$65</f>
        <v>52528.683283776685</v>
      </c>
      <c r="Y67" s="995">
        <f>Y60*$C$65</f>
        <v>55771.759220589011</v>
      </c>
      <c r="AA67" s="995">
        <f>AA60*$C$65</f>
        <v>59016.861873949587</v>
      </c>
      <c r="AC67" s="995">
        <f>AC60*$C$65</f>
        <v>62261.265374321141</v>
      </c>
      <c r="AE67" s="995">
        <f>AE60*$C$65</f>
        <v>65502.078330994991</v>
      </c>
      <c r="AG67" s="995">
        <f>AG60*$C$65</f>
        <v>68736.236282044963</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47617.79999999993</v>
      </c>
      <c r="G70" s="995">
        <f>SUM(G66:G69)</f>
        <v>53870.0174999999</v>
      </c>
      <c r="I70" s="995">
        <f>SUM(I66:I69)</f>
        <v>60162.671662499895</v>
      </c>
      <c r="K70" s="995">
        <f>SUM(K66:K69)</f>
        <v>66492.70162818738</v>
      </c>
      <c r="M70" s="995">
        <f>SUM(M66:M69)</f>
        <v>72856.827176736319</v>
      </c>
      <c r="O70" s="995">
        <f>SUM(O66:O69)</f>
        <v>79251.538236851397</v>
      </c>
      <c r="Q70" s="995">
        <f>SUM(Q66:Q69)</f>
        <v>85673.08395872236</v>
      </c>
      <c r="S70" s="995">
        <f>SUM(S66:S69)</f>
        <v>92117.461331816157</v>
      </c>
      <c r="U70" s="995">
        <f>SUM(U66:U69)</f>
        <v>98580.403330276662</v>
      </c>
      <c r="W70" s="995">
        <f>SUM(W66:W69)</f>
        <v>105057.36656755337</v>
      </c>
      <c r="Y70" s="995">
        <f>SUM(Y66:Y69)</f>
        <v>111543.51844117802</v>
      </c>
      <c r="AA70" s="995">
        <f>SUM(AA66:AA69)</f>
        <v>118033.72374789917</v>
      </c>
      <c r="AC70" s="995">
        <f>SUM(AC66:AC69)</f>
        <v>124522.53074864228</v>
      </c>
      <c r="AE70" s="995">
        <f>SUM(AE66:AE69)</f>
        <v>131004.15666198998</v>
      </c>
      <c r="AG70" s="995">
        <f>SUM(AG66:AG69)</f>
        <v>137472.47256408993</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8" t="s">
        <v>1911</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4425000</v>
      </c>
      <c r="C5" s="286">
        <f>'Sources and Uses Budget'!$C4</f>
        <v>4425000</v>
      </c>
      <c r="D5" s="290">
        <f>C5-B5</f>
        <v>0</v>
      </c>
      <c r="E5" s="288"/>
      <c r="F5" s="287"/>
      <c r="G5" s="383"/>
    </row>
    <row r="6" spans="1:7" s="380" customFormat="1">
      <c r="A6" s="395" t="s">
        <v>28</v>
      </c>
      <c r="B6" s="286">
        <f>'Sources and Uses Budget'!$C5</f>
        <v>300000</v>
      </c>
      <c r="C6" s="286">
        <f>'Sources and Uses Budget'!$C5</f>
        <v>300000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4725000</v>
      </c>
      <c r="C9" s="290">
        <f>SUM(C5:C8)</f>
        <v>4725000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125000</v>
      </c>
      <c r="C11" s="286">
        <f>'Sources and Uses Budget'!$C10</f>
        <v>125000</v>
      </c>
      <c r="D11" s="290">
        <f t="shared" si="0"/>
        <v>0</v>
      </c>
      <c r="E11" s="288"/>
      <c r="F11" s="287"/>
      <c r="G11" s="383"/>
    </row>
    <row r="12" spans="1:7" s="380" customFormat="1">
      <c r="A12" s="396" t="s">
        <v>604</v>
      </c>
      <c r="B12" s="290">
        <f>SUM(B10:B11)</f>
        <v>125000</v>
      </c>
      <c r="C12" s="290">
        <f>SUM(C10:C11)</f>
        <v>125000</v>
      </c>
      <c r="D12" s="290">
        <f t="shared" si="0"/>
        <v>0</v>
      </c>
      <c r="E12" s="288"/>
      <c r="F12" s="287"/>
      <c r="G12" s="383"/>
    </row>
    <row r="13" spans="1:7" s="380" customFormat="1">
      <c r="A13" s="396" t="s">
        <v>84</v>
      </c>
      <c r="B13" s="290">
        <f>SUM(B9+B12)</f>
        <v>4850000</v>
      </c>
      <c r="C13" s="290">
        <f>SUM(C9+C12)</f>
        <v>4850000</v>
      </c>
      <c r="D13" s="290">
        <f t="shared" si="0"/>
        <v>0</v>
      </c>
      <c r="E13" s="288"/>
      <c r="F13" s="287"/>
      <c r="G13" s="383"/>
    </row>
    <row r="14" spans="1:7" s="380" customFormat="1">
      <c r="A14" s="397" t="s">
        <v>917</v>
      </c>
      <c r="B14" s="286">
        <f>'Sources and Uses Budget'!$C13</f>
        <v>216490</v>
      </c>
      <c r="C14" s="286">
        <f>'Sources and Uses Budget'!$C13</f>
        <v>216490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1230000</v>
      </c>
      <c r="C30" s="286">
        <f>'Sources and Uses Budget'!$C29</f>
        <v>1230000</v>
      </c>
      <c r="D30" s="290">
        <f t="shared" si="0"/>
        <v>0</v>
      </c>
      <c r="E30" s="288"/>
      <c r="F30" s="287"/>
      <c r="G30" s="383"/>
    </row>
    <row r="31" spans="1:7" s="380" customFormat="1">
      <c r="A31" s="145" t="s">
        <v>607</v>
      </c>
      <c r="B31" s="286">
        <f>'Sources and Uses Budget'!$C30</f>
        <v>25212200</v>
      </c>
      <c r="C31" s="286">
        <f>'Sources and Uses Budget'!$C30</f>
        <v>25212200</v>
      </c>
      <c r="D31" s="290">
        <f t="shared" si="0"/>
        <v>0</v>
      </c>
      <c r="E31" s="288"/>
      <c r="F31" s="287"/>
      <c r="G31" s="383"/>
    </row>
    <row r="32" spans="1:7" s="380" customFormat="1">
      <c r="A32" s="145" t="s">
        <v>608</v>
      </c>
      <c r="B32" s="286">
        <f>'Sources and Uses Budget'!$C31</f>
        <v>1343360</v>
      </c>
      <c r="C32" s="286">
        <f>'Sources and Uses Budget'!$C31</f>
        <v>1343360</v>
      </c>
      <c r="D32" s="290">
        <f t="shared" si="0"/>
        <v>0</v>
      </c>
      <c r="E32" s="288"/>
      <c r="F32" s="287"/>
      <c r="G32" s="383"/>
    </row>
    <row r="33" spans="1:7" s="380" customFormat="1">
      <c r="A33" s="145" t="s">
        <v>137</v>
      </c>
      <c r="B33" s="286">
        <f>'Sources and Uses Budget'!$C32</f>
        <v>1209024</v>
      </c>
      <c r="C33" s="286">
        <f>'Sources and Uses Budget'!$C32</f>
        <v>1209024</v>
      </c>
      <c r="D33" s="290">
        <f t="shared" si="0"/>
        <v>0</v>
      </c>
      <c r="E33" s="288"/>
      <c r="F33" s="287"/>
      <c r="G33" s="383"/>
    </row>
    <row r="34" spans="1:7" s="380" customFormat="1">
      <c r="A34" s="145" t="s">
        <v>138</v>
      </c>
      <c r="B34" s="286">
        <f>'Sources and Uses Budget'!$C33</f>
        <v>1209024</v>
      </c>
      <c r="C34" s="286">
        <f>'Sources and Uses Budget'!$C33</f>
        <v>1209024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1221754</v>
      </c>
      <c r="C36" s="286">
        <f>'Sources and Uses Budget'!$C35</f>
        <v>1221754</v>
      </c>
      <c r="D36" s="290">
        <f t="shared" si="0"/>
        <v>0</v>
      </c>
      <c r="E36" s="288"/>
      <c r="F36" s="287"/>
      <c r="G36" s="383"/>
    </row>
    <row r="37" spans="1:7" s="380" customFormat="1">
      <c r="A37" s="304" t="s">
        <v>1753</v>
      </c>
      <c r="B37" s="286">
        <f>'Sources and Uses Budget'!$C36</f>
        <v>192000</v>
      </c>
      <c r="C37" s="286">
        <f>'Sources and Uses Budget'!$C36</f>
        <v>192000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31617362</v>
      </c>
      <c r="C39" s="290">
        <f>SUM(C30:C38)</f>
        <v>31617362</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2500000</v>
      </c>
      <c r="C41" s="286">
        <f>'Sources and Uses Budget'!$C40</f>
        <v>2500000</v>
      </c>
      <c r="D41" s="290">
        <f t="shared" si="0"/>
        <v>0</v>
      </c>
      <c r="E41" s="288"/>
      <c r="F41" s="287"/>
      <c r="G41" s="383"/>
    </row>
    <row r="42" spans="1:7" s="380" customFormat="1" ht="14">
      <c r="A42" s="289" t="s">
        <v>146</v>
      </c>
      <c r="B42" s="286">
        <f>'Sources and Uses Budget'!$C41</f>
        <v>240000</v>
      </c>
      <c r="C42" s="286">
        <f>'Sources and Uses Budget'!$C41</f>
        <v>240000</v>
      </c>
      <c r="D42" s="290">
        <f t="shared" si="0"/>
        <v>0</v>
      </c>
      <c r="E42" s="288"/>
      <c r="F42" s="287"/>
      <c r="G42" s="383"/>
    </row>
    <row r="43" spans="1:7" s="380" customFormat="1" ht="14">
      <c r="A43" s="291" t="s">
        <v>147</v>
      </c>
      <c r="B43" s="290">
        <f>SUM(B41:B42)</f>
        <v>2740000</v>
      </c>
      <c r="C43" s="290">
        <f>SUM(C41:C42)</f>
        <v>2740000</v>
      </c>
      <c r="D43" s="290">
        <f t="shared" si="0"/>
        <v>0</v>
      </c>
      <c r="E43" s="288"/>
      <c r="F43" s="287"/>
      <c r="G43" s="383"/>
    </row>
    <row r="44" spans="1:7" s="380" customFormat="1" ht="14">
      <c r="A44" s="291" t="s">
        <v>148</v>
      </c>
      <c r="B44" s="286">
        <f>'Sources and Uses Budget'!$C43</f>
        <v>350000</v>
      </c>
      <c r="C44" s="286">
        <f>'Sources and Uses Budget'!$C43</f>
        <v>350000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5286748</v>
      </c>
      <c r="C46" s="286">
        <f>'Sources and Uses Budget'!$C45</f>
        <v>5286748</v>
      </c>
      <c r="D46" s="290">
        <f t="shared" si="0"/>
        <v>0</v>
      </c>
      <c r="E46" s="288"/>
      <c r="F46" s="287"/>
      <c r="G46" s="383"/>
    </row>
    <row r="47" spans="1:7" s="380" customFormat="1">
      <c r="A47" s="145" t="s">
        <v>151</v>
      </c>
      <c r="B47" s="286">
        <f>'Sources and Uses Budget'!$C46</f>
        <v>293587</v>
      </c>
      <c r="C47" s="286">
        <f>'Sources and Uses Budget'!$C46</f>
        <v>293587</v>
      </c>
      <c r="D47" s="290">
        <f t="shared" si="0"/>
        <v>0</v>
      </c>
      <c r="E47" s="288"/>
      <c r="F47" s="287"/>
      <c r="G47" s="383"/>
    </row>
    <row r="48" spans="1:7" s="380" customFormat="1" ht="12" customHeight="1">
      <c r="A48" s="198" t="s">
        <v>152</v>
      </c>
      <c r="B48" s="286">
        <f>'Sources and Uses Budget'!$C47</f>
        <v>42500</v>
      </c>
      <c r="C48" s="286">
        <f>'Sources and Uses Budget'!$C47</f>
        <v>42500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100320</v>
      </c>
      <c r="C50" s="286">
        <f>'Sources and Uses Budget'!$C49</f>
        <v>100320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52369</v>
      </c>
      <c r="C52" s="286">
        <f>'Sources and Uses Budget'!$C51</f>
        <v>52369</v>
      </c>
      <c r="D52" s="290">
        <f t="shared" si="0"/>
        <v>0</v>
      </c>
      <c r="E52" s="288"/>
      <c r="F52" s="287"/>
      <c r="G52" s="383"/>
    </row>
    <row r="53" spans="1:7" s="380" customFormat="1">
      <c r="A53" s="145" t="s">
        <v>155</v>
      </c>
      <c r="B53" s="286">
        <f>'Sources and Uses Budget'!$C52</f>
        <v>1131564</v>
      </c>
      <c r="C53" s="286">
        <f>'Sources and Uses Budget'!$C52</f>
        <v>1131564</v>
      </c>
      <c r="D53" s="290">
        <f t="shared" si="0"/>
        <v>0</v>
      </c>
      <c r="E53" s="288"/>
      <c r="F53" s="287"/>
      <c r="G53" s="383"/>
    </row>
    <row r="54" spans="1:7" s="380" customFormat="1">
      <c r="A54" s="155" t="str">
        <f>'Sources and Uses Budget'!A53</f>
        <v>Construction lender expenses</v>
      </c>
      <c r="B54" s="286">
        <f>'Sources and Uses Budget'!$C53</f>
        <v>133000</v>
      </c>
      <c r="C54" s="286">
        <f>'Sources and Uses Budget'!$C53</f>
        <v>133000</v>
      </c>
      <c r="D54" s="290">
        <f t="shared" si="0"/>
        <v>0</v>
      </c>
      <c r="E54" s="288"/>
      <c r="F54" s="287"/>
      <c r="G54" s="383"/>
    </row>
    <row r="55" spans="1:7" s="381" customFormat="1" ht="14">
      <c r="A55" s="291" t="s">
        <v>157</v>
      </c>
      <c r="B55" s="293">
        <f>SUM(B46:B54)</f>
        <v>7160088</v>
      </c>
      <c r="C55" s="293">
        <f>SUM(C46:C54)</f>
        <v>7160088</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82770</v>
      </c>
      <c r="C57" s="286">
        <f>'Sources and Uses Budget'!$C56</f>
        <v>82770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ht="14">
      <c r="A59" s="289" t="s">
        <v>156</v>
      </c>
      <c r="B59" s="286">
        <f>'Sources and Uses Budget'!$C58</f>
        <v>15000</v>
      </c>
      <c r="C59" s="286">
        <f>'Sources and Uses Budget'!$C58</f>
        <v>15000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Perm lender expenses</v>
      </c>
      <c r="B62" s="286">
        <f>'Sources and Uses Budget'!$C61</f>
        <v>10000</v>
      </c>
      <c r="C62" s="286">
        <f>'Sources and Uses Budget'!$C61</f>
        <v>10000</v>
      </c>
      <c r="D62" s="290">
        <f t="shared" si="0"/>
        <v>0</v>
      </c>
      <c r="E62" s="288"/>
      <c r="F62" s="287"/>
      <c r="G62" s="383"/>
    </row>
    <row r="63" spans="1:7" s="380" customFormat="1" ht="13.75" customHeight="1">
      <c r="A63" s="291" t="s">
        <v>301</v>
      </c>
      <c r="B63" s="290">
        <f>SUM(B57:B62)</f>
        <v>107770</v>
      </c>
      <c r="C63" s="290">
        <f>SUM(C57:C62)</f>
        <v>107770</v>
      </c>
      <c r="D63" s="290">
        <f t="shared" si="0"/>
        <v>0</v>
      </c>
      <c r="E63" s="288"/>
      <c r="F63" s="287"/>
      <c r="G63" s="383"/>
    </row>
    <row r="64" spans="1:7" s="380" customFormat="1" ht="14">
      <c r="A64" s="294" t="s">
        <v>302</v>
      </c>
      <c r="B64" s="290">
        <f>SUM(B9+B12+B14+B15+B17+B26+B28+B39+B43+B44+B55+B63)</f>
        <v>47041710</v>
      </c>
      <c r="C64" s="290">
        <f>SUM(C9+C12+C14+C15+C17+C26+C28+C39+C43+C44+C55+C63)</f>
        <v>47041710</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135000</v>
      </c>
      <c r="C66" s="286">
        <f>'Sources and Uses Budget'!$C65</f>
        <v>135000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55000</v>
      </c>
      <c r="C70" s="286">
        <f>'Sources and Uses Budget'!$C69</f>
        <v>55000</v>
      </c>
      <c r="D70" s="290">
        <f t="shared" si="0"/>
        <v>0</v>
      </c>
      <c r="E70" s="288"/>
      <c r="F70" s="287"/>
      <c r="G70" s="383"/>
    </row>
    <row r="71" spans="1:7" s="380" customFormat="1">
      <c r="A71" s="149" t="s">
        <v>1758</v>
      </c>
      <c r="B71" s="290">
        <f>SUM(B66:B70)</f>
        <v>190000</v>
      </c>
      <c r="C71" s="290">
        <f>SUM(C66:C70)</f>
        <v>190000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339521</v>
      </c>
      <c r="C76" s="286">
        <f>'Sources and Uses Budget'!$C75</f>
        <v>339521</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339521</v>
      </c>
      <c r="C78" s="290">
        <f>SUM(C73:C77)</f>
        <v>339521</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1592518</v>
      </c>
      <c r="C80" s="286">
        <f>'Sources and Uses Budget'!$C79</f>
        <v>1592518</v>
      </c>
      <c r="D80" s="290">
        <f t="shared" si="1"/>
        <v>0</v>
      </c>
      <c r="E80" s="288"/>
      <c r="F80" s="287"/>
      <c r="G80" s="383"/>
    </row>
    <row r="81" spans="1:7" s="380" customFormat="1" ht="14">
      <c r="A81" s="544" t="s">
        <v>58</v>
      </c>
      <c r="B81" s="286">
        <f>'Sources and Uses Budget'!$C80</f>
        <v>351282</v>
      </c>
      <c r="C81" s="286">
        <f>'Sources and Uses Budget'!$C80</f>
        <v>351282</v>
      </c>
      <c r="D81" s="290">
        <f>C81-B81</f>
        <v>0</v>
      </c>
      <c r="E81" s="288"/>
      <c r="F81" s="287"/>
      <c r="G81" s="383"/>
    </row>
    <row r="82" spans="1:7" s="380" customFormat="1" ht="14">
      <c r="A82" s="291" t="s">
        <v>1315</v>
      </c>
      <c r="B82" s="290">
        <f>SUM(B80:B81)</f>
        <v>1943800</v>
      </c>
      <c r="C82" s="290">
        <f>SUM(C80:C81)</f>
        <v>1943800</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85218</v>
      </c>
      <c r="C84" s="286">
        <f>'Sources and Uses Budget'!$C83</f>
        <v>85218</v>
      </c>
      <c r="D84" s="290">
        <f t="shared" si="1"/>
        <v>0</v>
      </c>
      <c r="E84" s="288"/>
      <c r="F84" s="287"/>
      <c r="G84" s="383"/>
    </row>
    <row r="85" spans="1:7" s="380" customFormat="1" ht="14">
      <c r="A85" s="289" t="s">
        <v>776</v>
      </c>
      <c r="B85" s="286">
        <f>'Sources and Uses Budget'!$C84</f>
        <v>155000</v>
      </c>
      <c r="C85" s="286">
        <f>'Sources and Uses Budget'!$C84</f>
        <v>155000</v>
      </c>
      <c r="D85" s="290">
        <f t="shared" si="1"/>
        <v>0</v>
      </c>
      <c r="E85" s="288"/>
      <c r="F85" s="287"/>
      <c r="G85" s="383"/>
    </row>
    <row r="86" spans="1:7" s="380" customFormat="1" ht="14">
      <c r="A86" s="289" t="s">
        <v>777</v>
      </c>
      <c r="B86" s="286">
        <f>'Sources and Uses Budget'!$C85</f>
        <v>533000</v>
      </c>
      <c r="C86" s="286">
        <f>'Sources and Uses Budget'!$C85</f>
        <v>533000</v>
      </c>
      <c r="D86" s="290">
        <f t="shared" si="1"/>
        <v>0</v>
      </c>
      <c r="E86" s="288"/>
      <c r="F86" s="287"/>
      <c r="G86" s="383"/>
    </row>
    <row r="87" spans="1:7" s="380" customFormat="1" ht="14">
      <c r="A87" s="289" t="s">
        <v>778</v>
      </c>
      <c r="B87" s="286">
        <f>'Sources and Uses Budget'!$C86</f>
        <v>1066000</v>
      </c>
      <c r="C87" s="286">
        <f>'Sources and Uses Budget'!$C86</f>
        <v>1066000</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40000</v>
      </c>
      <c r="C89" s="286">
        <f>'Sources and Uses Budget'!$C88</f>
        <v>40000</v>
      </c>
      <c r="D89" s="290">
        <f t="shared" si="1"/>
        <v>0</v>
      </c>
      <c r="E89" s="288"/>
      <c r="F89" s="287"/>
      <c r="G89" s="383"/>
    </row>
    <row r="90" spans="1:7" s="380" customFormat="1" ht="14">
      <c r="A90" s="289" t="s">
        <v>781</v>
      </c>
      <c r="B90" s="286">
        <f>'Sources and Uses Budget'!$C89</f>
        <v>150000</v>
      </c>
      <c r="C90" s="286">
        <f>'Sources and Uses Budget'!$C89</f>
        <v>150000</v>
      </c>
      <c r="D90" s="290">
        <f t="shared" si="1"/>
        <v>0</v>
      </c>
      <c r="E90" s="288"/>
      <c r="F90" s="287"/>
      <c r="G90" s="383"/>
    </row>
    <row r="91" spans="1:7" s="380" customFormat="1" ht="14">
      <c r="A91" s="289" t="s">
        <v>782</v>
      </c>
      <c r="B91" s="286">
        <f>'Sources and Uses Budget'!$C90</f>
        <v>8500</v>
      </c>
      <c r="C91" s="286">
        <f>'Sources and Uses Budget'!$C90</f>
        <v>8500</v>
      </c>
      <c r="D91" s="290">
        <f t="shared" si="1"/>
        <v>0</v>
      </c>
      <c r="E91" s="288"/>
      <c r="F91" s="287"/>
      <c r="G91" s="383"/>
    </row>
    <row r="92" spans="1:7" s="380" customFormat="1" ht="14">
      <c r="A92" s="289" t="s">
        <v>372</v>
      </c>
      <c r="B92" s="286">
        <f>'Sources and Uses Budget'!$C91</f>
        <v>0</v>
      </c>
      <c r="C92" s="286">
        <f>'Sources and Uses Budget'!$C91</f>
        <v>0</v>
      </c>
      <c r="D92" s="290">
        <f t="shared" si="1"/>
        <v>0</v>
      </c>
      <c r="E92" s="288"/>
      <c r="F92" s="287"/>
      <c r="G92" s="383"/>
    </row>
    <row r="93" spans="1:7" s="380" customFormat="1" ht="14">
      <c r="A93" s="544" t="s">
        <v>1317</v>
      </c>
      <c r="B93" s="286">
        <f>'Sources and Uses Budget'!$C92</f>
        <v>5000</v>
      </c>
      <c r="C93" s="286">
        <f>'Sources and Uses Budget'!$C92</f>
        <v>5000</v>
      </c>
      <c r="D93" s="290">
        <f t="shared" si="1"/>
        <v>0</v>
      </c>
      <c r="E93" s="288"/>
      <c r="F93" s="287"/>
      <c r="G93" s="383"/>
    </row>
    <row r="94" spans="1:7" s="380" customFormat="1" ht="14">
      <c r="A94" s="292" t="s">
        <v>34</v>
      </c>
      <c r="B94" s="286">
        <f>'Sources and Uses Budget'!$C93</f>
        <v>99000</v>
      </c>
      <c r="C94" s="286">
        <f>'Sources and Uses Budget'!$C93</f>
        <v>99000</v>
      </c>
      <c r="D94" s="290">
        <f t="shared" si="1"/>
        <v>0</v>
      </c>
      <c r="E94" s="288"/>
      <c r="F94" s="287"/>
      <c r="G94" s="383"/>
    </row>
    <row r="95" spans="1:7" s="380" customFormat="1" ht="14">
      <c r="A95" s="292" t="s">
        <v>34</v>
      </c>
      <c r="B95" s="286">
        <f>'Sources and Uses Budget'!$C94</f>
        <v>118200</v>
      </c>
      <c r="C95" s="286">
        <f>'Sources and Uses Budget'!$C94</f>
        <v>118200</v>
      </c>
      <c r="D95" s="290">
        <f t="shared" si="1"/>
        <v>0</v>
      </c>
      <c r="E95" s="288"/>
      <c r="F95" s="287"/>
      <c r="G95" s="383"/>
    </row>
    <row r="96" spans="1:7" s="380" customFormat="1" ht="14">
      <c r="A96" s="292" t="s">
        <v>34</v>
      </c>
      <c r="B96" s="286">
        <f>'Sources and Uses Budget'!$C95</f>
        <v>16473</v>
      </c>
      <c r="C96" s="286">
        <f>'Sources and Uses Budget'!$C95</f>
        <v>16473</v>
      </c>
      <c r="D96" s="290">
        <f t="shared" si="1"/>
        <v>0</v>
      </c>
      <c r="E96" s="288"/>
      <c r="F96" s="287"/>
      <c r="G96" s="383"/>
    </row>
    <row r="97" spans="1:7" s="380" customFormat="1" ht="14">
      <c r="A97" s="291" t="s">
        <v>783</v>
      </c>
      <c r="B97" s="290">
        <f>SUM(B84:B96)</f>
        <v>2276391</v>
      </c>
      <c r="C97" s="290">
        <f>SUM(C84:C96)</f>
        <v>2276391</v>
      </c>
      <c r="D97" s="290">
        <f t="shared" si="1"/>
        <v>0</v>
      </c>
      <c r="E97" s="288"/>
      <c r="F97" s="287"/>
      <c r="G97" s="383"/>
    </row>
    <row r="98" spans="1:7" s="380" customFormat="1" ht="14">
      <c r="A98" s="291" t="s">
        <v>784</v>
      </c>
      <c r="B98" s="290">
        <f>SUM(B64+B71+B78+B82+B97)</f>
        <v>51791422</v>
      </c>
      <c r="C98" s="290">
        <f>SUM(C64+C71+C78+C82+C97)</f>
        <v>51791422</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6601394</v>
      </c>
      <c r="C100" s="286">
        <f>'Sources and Uses Budget'!$C99</f>
        <v>6601394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6601394</v>
      </c>
      <c r="C105" s="290">
        <f>SUM(C100:C104)</f>
        <v>6601394</v>
      </c>
      <c r="D105" s="290">
        <f t="shared" si="1"/>
        <v>0</v>
      </c>
      <c r="E105" s="288"/>
      <c r="F105" s="287"/>
      <c r="G105" s="383"/>
    </row>
    <row r="106" spans="1:7" s="380" customFormat="1" ht="14">
      <c r="A106" s="291" t="s">
        <v>789</v>
      </c>
      <c r="B106" s="293">
        <f>SUM(B98+B105)</f>
        <v>58392816</v>
      </c>
      <c r="C106" s="293">
        <f>SUM(C98+C105)</f>
        <v>58392816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307</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7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2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c r="A21" s="176"/>
      <c r="B21" s="468" t="s">
        <v>307</v>
      </c>
      <c r="D21" s="1311" t="s">
        <v>1152</v>
      </c>
      <c r="E21" s="1311"/>
      <c r="F21" s="1311"/>
    </row>
    <row r="22" spans="1:6">
      <c r="A22" s="176"/>
      <c r="B22" s="176"/>
      <c r="D22" s="35"/>
    </row>
    <row r="23" spans="1:6">
      <c r="A23" s="176"/>
      <c r="B23" s="468" t="s">
        <v>307</v>
      </c>
      <c r="D23" s="1268" t="s">
        <v>1153</v>
      </c>
      <c r="E23" s="1268"/>
      <c r="F23" s="1268"/>
    </row>
    <row r="24" spans="1:6">
      <c r="A24" s="176"/>
      <c r="B24" s="176"/>
      <c r="D24" s="1268"/>
      <c r="E24" s="1268"/>
      <c r="F24" s="1268"/>
    </row>
    <row r="25" spans="1:6"/>
    <row r="26" spans="1:6">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c r="A34" s="176"/>
      <c r="B34" s="176"/>
      <c r="D34" s="220"/>
    </row>
    <row r="35" spans="1:6" ht="14.5" customHeight="1">
      <c r="A35" s="176"/>
      <c r="B35" s="468" t="s">
        <v>307</v>
      </c>
      <c r="D35" s="1268" t="s">
        <v>1156</v>
      </c>
      <c r="E35" s="1268"/>
      <c r="F35" s="1268"/>
    </row>
    <row r="36" spans="1:6">
      <c r="A36" s="176"/>
      <c r="B36" s="176"/>
      <c r="D36" s="1268"/>
      <c r="E36" s="1268"/>
      <c r="F36" s="1268"/>
    </row>
    <row r="37" spans="1:6">
      <c r="A37" s="176"/>
      <c r="B37" s="176"/>
      <c r="D37" s="1268"/>
      <c r="E37" s="1268"/>
      <c r="F37" s="1268"/>
    </row>
    <row r="38" spans="1:6">
      <c r="A38" s="176"/>
      <c r="B38" s="176"/>
      <c r="D38"/>
    </row>
    <row r="39" spans="1:6">
      <c r="A39" s="176"/>
      <c r="B39" s="468" t="s">
        <v>307</v>
      </c>
      <c r="D39" s="1268" t="s">
        <v>1157</v>
      </c>
      <c r="E39" s="1268"/>
      <c r="F39" s="1268"/>
    </row>
    <row r="40" spans="1:6">
      <c r="A40" s="176"/>
      <c r="B40" s="176"/>
      <c r="D40" s="1268"/>
      <c r="E40" s="1268"/>
      <c r="F40" s="1268"/>
    </row>
    <row r="41" spans="1:6">
      <c r="A41" s="176"/>
      <c r="B41" s="176"/>
      <c r="D41" s="1268"/>
      <c r="E41" s="1268"/>
      <c r="F41" s="1268"/>
    </row>
    <row r="42" spans="1:6">
      <c r="A42" s="176"/>
      <c r="B42" s="176"/>
      <c r="D42" s="1268"/>
      <c r="E42" s="1268"/>
      <c r="F42" s="1268"/>
    </row>
    <row r="43" spans="1:6">
      <c r="A43" s="176"/>
      <c r="B43" s="176"/>
      <c r="D43" s="1268"/>
      <c r="E43" s="1268"/>
      <c r="F43" s="1268"/>
    </row>
    <row r="44" spans="1:6">
      <c r="A44" s="176"/>
      <c r="B44" s="176"/>
      <c r="D44" s="474"/>
      <c r="E44" s="474"/>
      <c r="F44" s="474"/>
    </row>
    <row r="45" spans="1:6">
      <c r="A45" s="176"/>
      <c r="B45" s="468" t="s">
        <v>307</v>
      </c>
      <c r="D45" s="1268" t="s">
        <v>1158</v>
      </c>
      <c r="E45" s="1268"/>
      <c r="F45" s="1268"/>
    </row>
    <row r="46" spans="1:6">
      <c r="A46" s="176"/>
      <c r="B46" s="176"/>
      <c r="D46" s="1268"/>
      <c r="E46" s="1268"/>
      <c r="F46" s="1268"/>
    </row>
    <row r="47" spans="1:6">
      <c r="A47" s="176"/>
      <c r="B47" s="176"/>
      <c r="D47" s="1268"/>
      <c r="E47" s="1268"/>
      <c r="F47" s="1268"/>
    </row>
    <row r="48" spans="1:6" ht="23.25" customHeight="1">
      <c r="A48" s="176"/>
      <c r="B48" s="176"/>
      <c r="D48" s="1268"/>
      <c r="E48" s="1268"/>
      <c r="F48" s="1268"/>
    </row>
    <row r="49" spans="1:7">
      <c r="A49" s="176"/>
      <c r="B49" s="176"/>
      <c r="D49" s="35"/>
    </row>
    <row r="50" spans="1:7" ht="14.5" customHeight="1">
      <c r="A50" s="176"/>
      <c r="B50" s="468" t="s">
        <v>307</v>
      </c>
      <c r="D50" s="1268" t="s">
        <v>1159</v>
      </c>
      <c r="E50" s="1268"/>
      <c r="F50" s="1268"/>
    </row>
    <row r="51" spans="1:7">
      <c r="A51" s="176"/>
      <c r="B51" s="176"/>
      <c r="D51" s="1268"/>
      <c r="E51" s="1268"/>
      <c r="F51" s="1268"/>
    </row>
    <row r="52" spans="1:7">
      <c r="A52" s="176"/>
      <c r="B52" s="176"/>
      <c r="D52" s="1268"/>
      <c r="E52" s="1268"/>
      <c r="F52" s="1268"/>
    </row>
    <row r="53" spans="1:7">
      <c r="A53" s="176"/>
      <c r="B53" s="176"/>
      <c r="C53" s="385"/>
      <c r="D53" s="3"/>
      <c r="E53" s="3"/>
      <c r="F53" s="3"/>
      <c r="G53" s="3"/>
    </row>
    <row r="54" spans="1:7">
      <c r="A54" s="176"/>
      <c r="B54" s="468" t="s">
        <v>307</v>
      </c>
      <c r="C54" s="385"/>
      <c r="D54" s="1268" t="s">
        <v>1160</v>
      </c>
      <c r="E54" s="1268"/>
      <c r="F54" s="1268"/>
      <c r="G54" s="3"/>
    </row>
    <row r="55" spans="1:7">
      <c r="A55" s="176"/>
      <c r="B55" s="176"/>
      <c r="C55" s="385"/>
      <c r="D55" s="1268"/>
      <c r="E55" s="1268"/>
      <c r="F55" s="1268"/>
      <c r="G55" s="3"/>
    </row>
    <row r="56" spans="1:7">
      <c r="D56" s="220"/>
    </row>
    <row r="57" spans="1:7">
      <c r="A57" s="176"/>
      <c r="B57" s="468" t="s">
        <v>307</v>
      </c>
      <c r="D57" s="1268" t="s">
        <v>1161</v>
      </c>
      <c r="E57" s="1268"/>
      <c r="F57" s="1268"/>
    </row>
    <row r="58" spans="1:7">
      <c r="D58" s="1268"/>
      <c r="E58" s="1268"/>
      <c r="F58" s="1268"/>
    </row>
    <row r="59" spans="1:7">
      <c r="D59" s="1268"/>
      <c r="E59" s="1268"/>
      <c r="F59" s="1268"/>
    </row>
    <row r="60" spans="1:7">
      <c r="D60" s="3"/>
    </row>
    <row r="61" spans="1:7">
      <c r="A61" s="176"/>
      <c r="B61" s="468" t="s">
        <v>307</v>
      </c>
      <c r="D61" s="1268" t="s">
        <v>1162</v>
      </c>
      <c r="E61" s="1268"/>
      <c r="F61" s="1268"/>
    </row>
    <row r="62" spans="1:7">
      <c r="D62" s="1268"/>
      <c r="E62" s="1268"/>
      <c r="F62" s="1268"/>
    </row>
    <row r="63" spans="1:7"/>
    <row r="64" spans="1:7">
      <c r="A64" s="176"/>
      <c r="B64" s="468" t="s">
        <v>307</v>
      </c>
      <c r="D64" s="1268" t="s">
        <v>1163</v>
      </c>
      <c r="E64" s="1268"/>
      <c r="F64" s="1268"/>
    </row>
    <row r="65" spans="1:7">
      <c r="D65" s="1268"/>
      <c r="E65" s="1268"/>
      <c r="F65" s="1268"/>
    </row>
    <row r="66" spans="1:7">
      <c r="D66" s="1268"/>
      <c r="E66" s="1268"/>
      <c r="F66" s="1268"/>
    </row>
    <row r="67" spans="1:7">
      <c r="D67"/>
    </row>
    <row r="68" spans="1:7">
      <c r="A68" s="176"/>
      <c r="B68" s="468" t="s">
        <v>307</v>
      </c>
      <c r="D68" s="1268" t="s">
        <v>1164</v>
      </c>
      <c r="E68" s="1268"/>
      <c r="F68" s="1268"/>
    </row>
    <row r="69" spans="1:7">
      <c r="D69" s="1268"/>
      <c r="E69" s="1268"/>
      <c r="F69" s="1268"/>
    </row>
    <row r="70" spans="1:7">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c r="A76" s="176"/>
      <c r="B76" s="468" t="s">
        <v>307</v>
      </c>
      <c r="D76" s="1268" t="s">
        <v>1170</v>
      </c>
      <c r="E76" s="1268"/>
      <c r="F76" s="1268"/>
    </row>
    <row r="77" spans="1:7">
      <c r="A77" s="176"/>
      <c r="B77" s="176"/>
      <c r="D77" s="1268"/>
      <c r="E77" s="1268"/>
      <c r="F77" s="1268"/>
    </row>
    <row r="78" spans="1:7">
      <c r="A78" s="176"/>
      <c r="B78" s="176"/>
      <c r="D78" s="1268"/>
      <c r="E78" s="1268"/>
      <c r="F78" s="1268"/>
    </row>
    <row r="79" spans="1:7">
      <c r="A79" s="176"/>
      <c r="B79" s="176"/>
      <c r="D79" s="1268"/>
      <c r="E79" s="1268"/>
      <c r="F79" s="1268"/>
    </row>
    <row r="80" spans="1:7">
      <c r="A80" s="176"/>
      <c r="B80" s="176"/>
      <c r="D80" s="1268"/>
      <c r="E80" s="1268"/>
      <c r="F80" s="1268"/>
    </row>
    <row r="81" spans="1:6">
      <c r="A81" s="176"/>
      <c r="B81" s="176"/>
      <c r="D81" s="1268"/>
      <c r="E81" s="1268"/>
      <c r="F81" s="1268"/>
    </row>
    <row r="82" spans="1:6">
      <c r="A82" s="176"/>
      <c r="B82" s="176"/>
      <c r="D82" s="474"/>
      <c r="E82" s="474"/>
      <c r="F82" s="474"/>
    </row>
    <row r="83" spans="1:6" ht="14.5" customHeight="1">
      <c r="A83" s="176"/>
      <c r="B83" s="468" t="s">
        <v>307</v>
      </c>
      <c r="D83" s="1277" t="s">
        <v>1269</v>
      </c>
      <c r="E83" s="1277"/>
      <c r="F83" s="1277"/>
    </row>
    <row r="84" spans="1:6">
      <c r="A84" s="176"/>
      <c r="B84" s="176"/>
      <c r="D84" s="1277"/>
      <c r="E84" s="1277"/>
      <c r="F84" s="1277"/>
    </row>
    <row r="85" spans="1:6">
      <c r="A85" s="176"/>
      <c r="B85" s="176"/>
      <c r="D85" s="1277"/>
      <c r="E85" s="1277"/>
      <c r="F85" s="1277"/>
    </row>
    <row r="86" spans="1:6">
      <c r="A86" s="176"/>
      <c r="B86" s="176"/>
      <c r="D86" s="1277"/>
      <c r="E86" s="1277"/>
      <c r="F86" s="1277"/>
    </row>
    <row r="87" spans="1:6">
      <c r="A87" s="176"/>
      <c r="B87" s="176"/>
      <c r="D87" s="1277"/>
      <c r="E87" s="1277"/>
      <c r="F87" s="1277"/>
    </row>
    <row r="88" spans="1:6">
      <c r="A88" s="176"/>
      <c r="B88" s="176"/>
      <c r="D88" s="1277"/>
      <c r="E88" s="1277"/>
      <c r="F88" s="1277"/>
    </row>
    <row r="89" spans="1:6">
      <c r="A89" s="176"/>
      <c r="B89" s="176"/>
      <c r="D89" s="1277"/>
      <c r="E89" s="1277"/>
      <c r="F89" s="1277"/>
    </row>
    <row r="90" spans="1:6">
      <c r="A90" s="176"/>
      <c r="B90" s="176"/>
      <c r="D90" s="1277"/>
      <c r="E90" s="1277"/>
      <c r="F90" s="1277"/>
    </row>
    <row r="91" spans="1:6">
      <c r="A91" s="176"/>
      <c r="B91" s="176"/>
      <c r="D91" s="1277"/>
      <c r="E91" s="1277"/>
      <c r="F91" s="1277"/>
    </row>
    <row r="92" spans="1:6">
      <c r="A92" s="176"/>
      <c r="B92" s="176"/>
      <c r="D92" s="1277"/>
      <c r="E92" s="1277"/>
      <c r="F92" s="1277"/>
    </row>
    <row r="93" spans="1:6">
      <c r="A93" s="176"/>
      <c r="B93" s="176"/>
      <c r="D93" s="1277"/>
      <c r="E93" s="1277"/>
      <c r="F93" s="1277"/>
    </row>
    <row r="94" spans="1:6">
      <c r="A94" s="176"/>
      <c r="B94" s="176"/>
      <c r="D94" s="1277"/>
      <c r="E94" s="1277"/>
      <c r="F94" s="1277"/>
    </row>
    <row r="95" spans="1:6">
      <c r="A95" s="176"/>
      <c r="B95" s="176"/>
      <c r="D95" s="1277"/>
      <c r="E95" s="1277"/>
      <c r="F95" s="1277"/>
    </row>
    <row r="96" spans="1:6">
      <c r="A96" s="176"/>
      <c r="B96" s="176"/>
      <c r="D96" s="1277"/>
      <c r="E96" s="1277"/>
      <c r="F96" s="1277"/>
    </row>
    <row r="97" spans="1:11">
      <c r="A97" s="176"/>
      <c r="B97" s="468" t="s">
        <v>307</v>
      </c>
      <c r="D97" s="1268" t="s">
        <v>1171</v>
      </c>
      <c r="E97" s="1268"/>
      <c r="F97" s="1268"/>
    </row>
    <row r="98" spans="1:11">
      <c r="A98" s="176"/>
      <c r="B98" s="176"/>
      <c r="D98" s="1268"/>
      <c r="E98" s="1268"/>
      <c r="F98" s="1268"/>
    </row>
    <row r="99" spans="1:11">
      <c r="A99" s="176"/>
      <c r="B99" s="176"/>
      <c r="D99" s="1268"/>
      <c r="E99" s="1268"/>
      <c r="F99" s="1268"/>
    </row>
    <row r="100" spans="1:11">
      <c r="A100" s="176"/>
      <c r="B100" s="176"/>
      <c r="D100" s="1268"/>
      <c r="E100" s="1268"/>
      <c r="F100" s="1268"/>
    </row>
    <row r="101" spans="1:11">
      <c r="A101" s="176"/>
      <c r="B101" s="176"/>
      <c r="D101" s="1268"/>
      <c r="E101" s="1268"/>
      <c r="F101" s="1268"/>
    </row>
    <row r="102" spans="1:11">
      <c r="A102" s="176"/>
      <c r="B102" s="176"/>
      <c r="D102" s="1268"/>
      <c r="E102" s="1268"/>
      <c r="F102" s="1268"/>
    </row>
    <row r="103" spans="1:11">
      <c r="A103" s="176"/>
      <c r="B103" s="176"/>
      <c r="D103" s="1268"/>
      <c r="E103" s="1268"/>
      <c r="F103" s="1268"/>
    </row>
    <row r="104" spans="1:11">
      <c r="A104" s="176"/>
      <c r="B104" s="176"/>
      <c r="D104" s="1268"/>
      <c r="E104" s="1268"/>
      <c r="F104" s="1268"/>
    </row>
    <row r="105" spans="1:11">
      <c r="A105" s="176"/>
      <c r="B105" s="176"/>
      <c r="D105" s="474"/>
      <c r="E105" s="474"/>
      <c r="F105" s="474"/>
    </row>
    <row r="106" spans="1:11">
      <c r="A106" s="176"/>
      <c r="B106" s="468" t="s">
        <v>307</v>
      </c>
      <c r="C106" s="179"/>
      <c r="D106" s="1305" t="s">
        <v>1172</v>
      </c>
      <c r="E106" s="1305"/>
      <c r="F106" s="1305"/>
      <c r="G106" s="183"/>
      <c r="H106" s="181"/>
      <c r="I106" s="181"/>
      <c r="J106" s="181"/>
      <c r="K106" s="181"/>
    </row>
    <row r="107" spans="1:11">
      <c r="A107" s="176"/>
      <c r="B107" s="176"/>
      <c r="C107" s="179"/>
      <c r="D107" s="1305"/>
      <c r="E107" s="1305"/>
      <c r="F107" s="1305"/>
      <c r="G107" s="183"/>
      <c r="H107" s="181"/>
      <c r="I107" s="181"/>
      <c r="J107" s="181"/>
      <c r="K107" s="181"/>
    </row>
    <row r="108" spans="1:11">
      <c r="A108" s="176"/>
      <c r="B108" s="176"/>
      <c r="C108" s="179"/>
      <c r="D108" s="1305"/>
      <c r="E108" s="1305"/>
      <c r="F108" s="1305"/>
      <c r="G108" s="183"/>
      <c r="H108" s="181"/>
      <c r="I108" s="181"/>
      <c r="J108" s="181"/>
      <c r="K108" s="181"/>
    </row>
    <row r="109" spans="1:11">
      <c r="A109" s="176"/>
      <c r="B109" s="176"/>
      <c r="C109" s="179"/>
      <c r="D109" s="1305"/>
      <c r="E109" s="1305"/>
      <c r="F109" s="1305"/>
      <c r="G109" s="183"/>
      <c r="H109" s="181"/>
      <c r="I109" s="181"/>
      <c r="J109" s="181"/>
      <c r="K109" s="181"/>
    </row>
    <row r="110" spans="1:11">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c r="A114" s="176"/>
      <c r="B114" s="468" t="s">
        <v>307</v>
      </c>
      <c r="C114"/>
      <c r="D114" s="1306" t="s">
        <v>1173</v>
      </c>
      <c r="E114" s="1306"/>
      <c r="F114" s="1306"/>
      <c r="G114"/>
    </row>
    <row r="115" spans="1:7">
      <c r="A115" s="176"/>
      <c r="B115" s="176"/>
      <c r="C115"/>
      <c r="D115" s="1306"/>
      <c r="E115" s="1306"/>
      <c r="F115" s="1306"/>
      <c r="G115"/>
    </row>
    <row r="116" spans="1:7"/>
    <row r="117" spans="1:7">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c r="A123" s="176"/>
      <c r="B123" s="468" t="s">
        <v>307</v>
      </c>
      <c r="D123" s="1268" t="s">
        <v>1175</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307</v>
      </c>
      <c r="D136" s="1268" t="s">
        <v>1283</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307</v>
      </c>
      <c r="C156" s="218"/>
      <c r="D156" s="1277" t="s">
        <v>1176</v>
      </c>
      <c r="E156" s="1277"/>
      <c r="F156" s="1277"/>
      <c r="G156" s="218"/>
    </row>
    <row r="157" spans="1:7" ht="13.75" customHeight="1">
      <c r="A157" s="256"/>
      <c r="B157" s="256"/>
      <c r="C157" s="218"/>
      <c r="D157" s="1277"/>
      <c r="E157" s="1277"/>
      <c r="F157" s="1277"/>
      <c r="G157" s="218"/>
    </row>
    <row r="158" spans="1:7" ht="13.75" customHeight="1">
      <c r="A158" s="256"/>
      <c r="B158" s="256"/>
      <c r="C158" s="218"/>
      <c r="D158" s="218"/>
      <c r="E158" s="218"/>
      <c r="F158" s="218"/>
      <c r="G158" s="218"/>
    </row>
    <row r="159" spans="1:7" ht="13.75" customHeight="1">
      <c r="A159" s="256"/>
      <c r="B159" s="468" t="s">
        <v>307</v>
      </c>
      <c r="C159" s="218"/>
      <c r="D159" s="1277" t="s">
        <v>1177</v>
      </c>
      <c r="E159" s="1277"/>
      <c r="F159" s="1277"/>
      <c r="G159" s="218"/>
    </row>
    <row r="160" spans="1:7" ht="13.75" customHeight="1">
      <c r="A160" s="256"/>
      <c r="B160" s="256"/>
      <c r="C160" s="218"/>
      <c r="D160" s="1277"/>
      <c r="E160" s="1277"/>
      <c r="F160" s="1277"/>
      <c r="G160" s="218"/>
    </row>
    <row r="161" spans="1:7" ht="13.75" customHeight="1">
      <c r="A161" s="256"/>
      <c r="B161" s="256"/>
      <c r="C161" s="218"/>
      <c r="D161" s="1277"/>
      <c r="E161" s="1277"/>
      <c r="F161" s="1277"/>
      <c r="G161" s="218"/>
    </row>
    <row r="162" spans="1:7" ht="13.75" customHeight="1">
      <c r="A162" s="256"/>
      <c r="B162" s="256"/>
      <c r="C162" s="218"/>
      <c r="D162" s="1277"/>
      <c r="E162" s="1277"/>
      <c r="F162" s="1277"/>
      <c r="G162" s="218"/>
    </row>
    <row r="163" spans="1:7" ht="13.75" customHeight="1">
      <c r="D163" s="35"/>
      <c r="E163" s="35"/>
      <c r="F163" s="35"/>
    </row>
    <row r="164" spans="1:7" ht="13.75" customHeight="1">
      <c r="B164" s="468" t="s">
        <v>307</v>
      </c>
      <c r="D164" s="1282" t="s">
        <v>1178</v>
      </c>
      <c r="E164" s="1282"/>
      <c r="F164" s="1282"/>
    </row>
    <row r="165" spans="1:7" ht="13.75" customHeight="1">
      <c r="D165" s="1282"/>
      <c r="E165" s="1282"/>
      <c r="F165" s="1282"/>
    </row>
    <row r="166" spans="1:7" ht="13.75" customHeight="1">
      <c r="D166" s="1282"/>
      <c r="E166" s="1282"/>
      <c r="F166" s="1282"/>
    </row>
    <row r="167" spans="1:7" ht="13.75"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2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c r="A178" s="176"/>
      <c r="B178" s="468" t="s">
        <v>307</v>
      </c>
      <c r="D178" s="1295" t="s">
        <v>1180</v>
      </c>
      <c r="E178" s="1295"/>
      <c r="F178" s="1295"/>
    </row>
    <row r="179" spans="1:7">
      <c r="A179" s="176"/>
      <c r="B179" s="176"/>
      <c r="D179" s="1295"/>
      <c r="E179" s="1295"/>
      <c r="F179" s="1295"/>
    </row>
    <row r="180" spans="1:7">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c r="A186" s="176"/>
      <c r="B186" s="468" t="s">
        <v>307</v>
      </c>
      <c r="C186" s="385"/>
      <c r="D186" s="1268" t="s">
        <v>1179</v>
      </c>
      <c r="E186" s="1268"/>
      <c r="F186" s="1268"/>
      <c r="G186" s="3"/>
    </row>
    <row r="187" spans="1:7" ht="14.5" customHeight="1">
      <c r="A187" s="176"/>
      <c r="B187"/>
      <c r="C187" s="385"/>
      <c r="D187" s="1268"/>
      <c r="E187" s="1268"/>
      <c r="F187" s="1268"/>
      <c r="G187" s="3"/>
    </row>
    <row r="188" spans="1:7">
      <c r="A188" s="176"/>
      <c r="B188" s="385"/>
      <c r="C188" s="385"/>
      <c r="D188" s="1268"/>
      <c r="E188" s="1268"/>
      <c r="F188" s="1268"/>
      <c r="G188" s="3"/>
    </row>
    <row r="189" spans="1:7">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1203</v>
      </c>
      <c r="E194" s="1287"/>
      <c r="F194" s="1287"/>
    </row>
    <row r="195" spans="1:6" ht="12" customHeight="1">
      <c r="A195" s="13"/>
      <c r="B195" s="13"/>
      <c r="C195" s="13"/>
    </row>
    <row r="196" spans="1:6" ht="13.25" customHeight="1">
      <c r="A196" s="13"/>
      <c r="C196" s="13"/>
      <c r="D196" s="1284" t="s">
        <v>554</v>
      </c>
      <c r="E196" s="1284"/>
      <c r="F196" s="1284"/>
    </row>
    <row r="197" spans="1:6">
      <c r="A197" s="176"/>
      <c r="B197" s="468" t="s">
        <v>307</v>
      </c>
      <c r="D197" s="1268" t="s">
        <v>1197</v>
      </c>
      <c r="E197" s="1268"/>
      <c r="F197" s="1268"/>
    </row>
    <row r="198" spans="1:6">
      <c r="A198" s="176"/>
      <c r="B198" s="176"/>
      <c r="D198" s="1268"/>
      <c r="E198" s="1268"/>
      <c r="F198" s="1268"/>
    </row>
    <row r="199" spans="1:6"/>
    <row r="200" spans="1:6">
      <c r="A200" s="176"/>
      <c r="B200" s="468" t="s">
        <v>307</v>
      </c>
      <c r="D200" s="1268" t="s">
        <v>1198</v>
      </c>
      <c r="E200" s="1268"/>
      <c r="F200" s="1268"/>
    </row>
    <row r="201" spans="1:6">
      <c r="A201" s="176"/>
      <c r="B201" s="176"/>
      <c r="D201" s="1268"/>
      <c r="E201" s="1268"/>
      <c r="F201" s="1268"/>
    </row>
    <row r="202" spans="1:6">
      <c r="A202" s="176"/>
      <c r="B202" s="176"/>
      <c r="D202" s="1268"/>
      <c r="E202" s="1268"/>
      <c r="F202" s="1268"/>
    </row>
    <row r="203" spans="1:6" ht="5" customHeight="1">
      <c r="A203" s="176"/>
      <c r="B203" s="176"/>
      <c r="D203" s="35"/>
      <c r="E203" s="35"/>
      <c r="F203" s="35"/>
    </row>
    <row r="204" spans="1:6">
      <c r="A204" s="176"/>
      <c r="B204" s="176"/>
      <c r="D204" s="1268" t="s">
        <v>1199</v>
      </c>
      <c r="E204" s="1268"/>
      <c r="F204" s="1268"/>
    </row>
    <row r="205" spans="1:6">
      <c r="A205" s="176"/>
      <c r="B205" s="176"/>
      <c r="D205" s="1268"/>
      <c r="E205" s="1268"/>
      <c r="F205" s="1268"/>
    </row>
    <row r="206" spans="1:6">
      <c r="A206" s="176"/>
      <c r="B206" s="176"/>
      <c r="D206" s="1268"/>
      <c r="E206" s="1268"/>
      <c r="F206" s="1268"/>
    </row>
    <row r="207" spans="1:6">
      <c r="A207" s="176"/>
      <c r="B207" s="176"/>
      <c r="D207" s="1268"/>
      <c r="E207" s="1268"/>
      <c r="F207" s="1268"/>
    </row>
    <row r="208" spans="1:6">
      <c r="A208" s="176"/>
      <c r="B208" s="176"/>
      <c r="D208" s="1268"/>
      <c r="E208" s="1268"/>
      <c r="F208" s="1268"/>
    </row>
    <row r="209" spans="1:7">
      <c r="A209" s="176"/>
      <c r="B209" s="176"/>
      <c r="D209" s="35"/>
      <c r="E209" s="35"/>
      <c r="F209" s="35"/>
    </row>
    <row r="210" spans="1:7">
      <c r="A210" s="176"/>
      <c r="B210" s="468" t="s">
        <v>307</v>
      </c>
      <c r="D210" s="1268" t="s">
        <v>1200</v>
      </c>
      <c r="E210" s="1268"/>
      <c r="F210" s="1268"/>
    </row>
    <row r="211" spans="1:7">
      <c r="A211" s="176"/>
      <c r="B211" s="176"/>
      <c r="D211" s="1268"/>
      <c r="E211" s="1268"/>
      <c r="F211" s="1268"/>
    </row>
    <row r="212" spans="1:7">
      <c r="A212" s="176"/>
      <c r="B212" s="176"/>
      <c r="D212" s="1300" t="s">
        <v>909</v>
      </c>
      <c r="E212" s="1300"/>
      <c r="F212" s="1300"/>
    </row>
    <row r="213" spans="1:7">
      <c r="A213" s="176"/>
      <c r="B213" s="176"/>
      <c r="D213" s="35"/>
      <c r="E213" s="35"/>
      <c r="F213" s="35"/>
    </row>
    <row r="214" spans="1:7" ht="14.5" customHeight="1">
      <c r="A214" s="176"/>
      <c r="B214" s="468" t="s">
        <v>307</v>
      </c>
      <c r="D214" s="1268" t="s">
        <v>1202</v>
      </c>
      <c r="E214" s="1268"/>
      <c r="F214" s="1268"/>
    </row>
    <row r="215" spans="1:7">
      <c r="A215" s="176"/>
      <c r="B215" s="176"/>
      <c r="D215" s="1268"/>
      <c r="E215" s="1268"/>
      <c r="F215" s="1268"/>
    </row>
    <row r="216" spans="1:7">
      <c r="A216" s="176"/>
      <c r="B216" s="176"/>
      <c r="D216" s="1268"/>
      <c r="E216" s="1268"/>
      <c r="F216" s="1268"/>
    </row>
    <row r="217" spans="1:7">
      <c r="A217" s="176"/>
      <c r="B217" s="176"/>
      <c r="D217" s="1268"/>
      <c r="E217" s="1268"/>
      <c r="F217" s="1268"/>
    </row>
    <row r="218" spans="1:7">
      <c r="A218" s="176"/>
      <c r="B218" s="176"/>
      <c r="D218" s="1268"/>
      <c r="E218" s="1268"/>
      <c r="F218" s="1268"/>
    </row>
    <row r="219" spans="1:7">
      <c r="D219" s="35"/>
      <c r="E219" s="35"/>
      <c r="F219" s="35"/>
    </row>
    <row r="220" spans="1:7">
      <c r="A220" s="176"/>
      <c r="B220" s="468" t="s">
        <v>307</v>
      </c>
      <c r="D220" s="1268" t="s">
        <v>1201</v>
      </c>
      <c r="E220" s="1268"/>
      <c r="F220" s="1268"/>
    </row>
    <row r="221" spans="1:7">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269</v>
      </c>
      <c r="E227" s="1284"/>
      <c r="F227" s="1284"/>
    </row>
    <row r="228" spans="1:6">
      <c r="A228" s="176"/>
      <c r="B228" s="468" t="s">
        <v>307</v>
      </c>
      <c r="D228" s="1286" t="s">
        <v>1205</v>
      </c>
      <c r="E228" s="1286"/>
      <c r="F228" s="1286"/>
    </row>
    <row r="229" spans="1:6">
      <c r="A229" s="176"/>
      <c r="B229" s="176"/>
      <c r="D229" s="1286"/>
      <c r="E229" s="1286"/>
      <c r="F229" s="1286"/>
    </row>
    <row r="230" spans="1:6">
      <c r="D230" s="35"/>
      <c r="E230" s="35"/>
      <c r="F230" s="35"/>
    </row>
    <row r="231" spans="1:6" ht="14.5" customHeight="1">
      <c r="A231" s="176"/>
      <c r="B231" s="468" t="s">
        <v>307</v>
      </c>
      <c r="D231" s="1268" t="s">
        <v>1206</v>
      </c>
      <c r="E231" s="1268"/>
      <c r="F231" s="1268"/>
    </row>
    <row r="232" spans="1:6">
      <c r="D232" s="1268"/>
      <c r="E232" s="1268"/>
      <c r="F232" s="1268"/>
    </row>
    <row r="233" spans="1:6">
      <c r="D233" s="1287" t="s">
        <v>901</v>
      </c>
      <c r="E233" s="1287"/>
      <c r="F233" s="1287"/>
    </row>
    <row r="234" spans="1:6">
      <c r="D234" s="35"/>
      <c r="E234" s="35"/>
      <c r="F234" s="35"/>
    </row>
    <row r="235" spans="1:6" ht="14.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1210</v>
      </c>
      <c r="E251" s="1290"/>
      <c r="F251" s="1290"/>
    </row>
    <row r="252" spans="1:7">
      <c r="E252" s="35"/>
      <c r="F252" s="35"/>
    </row>
    <row r="253" spans="1:7">
      <c r="A253" s="176"/>
      <c r="B253" s="468" t="s">
        <v>307</v>
      </c>
      <c r="D253" s="1268" t="s">
        <v>1211</v>
      </c>
      <c r="E253" s="1268"/>
      <c r="F253" s="1268"/>
    </row>
    <row r="254" spans="1:7">
      <c r="A254" s="176"/>
      <c r="B254" s="176"/>
      <c r="D254" s="1268"/>
      <c r="E254" s="1268"/>
      <c r="F254" s="1268"/>
    </row>
    <row r="255" spans="1:7">
      <c r="D255" s="35"/>
      <c r="E255" s="35"/>
      <c r="F255" s="35"/>
    </row>
    <row r="256" spans="1:7">
      <c r="A256" s="176"/>
      <c r="B256" s="468" t="s">
        <v>307</v>
      </c>
      <c r="D256" s="1268" t="s">
        <v>1212</v>
      </c>
      <c r="E256" s="1268"/>
      <c r="F256" s="1268"/>
    </row>
    <row r="257" spans="1:7">
      <c r="A257" s="176"/>
      <c r="B257" s="176"/>
      <c r="D257" s="1268"/>
      <c r="E257" s="1268"/>
      <c r="F257" s="1268"/>
    </row>
    <row r="258" spans="1:7">
      <c r="A258" s="176"/>
      <c r="B258" s="176"/>
      <c r="D258" s="1268"/>
      <c r="E258" s="1268"/>
      <c r="F258" s="1268"/>
    </row>
    <row r="259" spans="1:7">
      <c r="D259" s="35"/>
      <c r="E259" s="35"/>
      <c r="F259" s="35"/>
    </row>
    <row r="260" spans="1:7">
      <c r="A260" s="176"/>
      <c r="B260" s="468" t="s">
        <v>307</v>
      </c>
      <c r="D260" s="1268" t="s">
        <v>1213</v>
      </c>
      <c r="E260" s="1268"/>
      <c r="F260" s="1268"/>
    </row>
    <row r="261" spans="1:7">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307</v>
      </c>
      <c r="D268" s="1279" t="s">
        <v>1215</v>
      </c>
      <c r="E268" s="1279"/>
      <c r="F268" s="1279"/>
    </row>
    <row r="269" spans="1:7">
      <c r="A269" s="176"/>
      <c r="B269" s="176"/>
      <c r="D269" s="341"/>
      <c r="E269" s="342"/>
      <c r="F269" s="342"/>
    </row>
    <row r="270" spans="1:7" ht="13.25" customHeight="1">
      <c r="B270" s="468" t="s">
        <v>307</v>
      </c>
      <c r="D270" s="1288" t="s">
        <v>1216</v>
      </c>
      <c r="E270" s="1288"/>
      <c r="F270" s="1288"/>
    </row>
    <row r="271" spans="1:7">
      <c r="A271" s="176"/>
      <c r="B271" s="176"/>
      <c r="D271" s="1288"/>
      <c r="E271" s="1288"/>
      <c r="F271" s="1288"/>
    </row>
    <row r="272" spans="1:7">
      <c r="A272" s="176"/>
      <c r="B272" s="176"/>
      <c r="D272" s="1288"/>
      <c r="E272" s="1288"/>
      <c r="F272" s="1288"/>
    </row>
    <row r="273" spans="1:6">
      <c r="A273" s="176"/>
      <c r="B273" s="176"/>
      <c r="D273" s="1288"/>
      <c r="E273" s="1288"/>
      <c r="F273" s="1288"/>
    </row>
    <row r="274" spans="1:6">
      <c r="A274" s="176"/>
      <c r="B274" s="176"/>
      <c r="D274" s="1288"/>
      <c r="E274" s="1288"/>
      <c r="F274" s="1288"/>
    </row>
    <row r="275" spans="1:6">
      <c r="A275" s="176"/>
      <c r="B275" s="176"/>
      <c r="D275" s="341"/>
      <c r="E275" s="342"/>
      <c r="F275" s="342"/>
    </row>
    <row r="276" spans="1:6" ht="13.25" customHeight="1">
      <c r="B276" s="468" t="s">
        <v>307</v>
      </c>
      <c r="D276" s="1288" t="s">
        <v>1217</v>
      </c>
      <c r="E276" s="1288"/>
      <c r="F276" s="1288"/>
    </row>
    <row r="277" spans="1:6">
      <c r="D277" s="1288"/>
      <c r="E277" s="1288"/>
      <c r="F277" s="1288"/>
    </row>
    <row r="278" spans="1:6">
      <c r="A278" s="176"/>
      <c r="B278" s="176"/>
      <c r="D278" s="341"/>
      <c r="E278" s="342"/>
      <c r="F278" s="342"/>
    </row>
    <row r="279" spans="1:6">
      <c r="B279" s="468" t="s">
        <v>307</v>
      </c>
      <c r="D279" s="1279" t="s">
        <v>1218</v>
      </c>
      <c r="E279" s="1279"/>
      <c r="F279" s="1279"/>
    </row>
    <row r="280" spans="1:6">
      <c r="E280" s="35"/>
      <c r="F280" s="35"/>
    </row>
    <row r="281" spans="1:6">
      <c r="A281" s="176"/>
      <c r="B281" s="468" t="s">
        <v>307</v>
      </c>
      <c r="D281" s="1268" t="s">
        <v>1219</v>
      </c>
      <c r="E281" s="1268"/>
      <c r="F281" s="1268"/>
    </row>
    <row r="282" spans="1:6">
      <c r="A282" s="176"/>
      <c r="B282" s="176"/>
      <c r="D282" s="1268"/>
      <c r="E282" s="1268"/>
      <c r="F282" s="1268"/>
    </row>
    <row r="283" spans="1:6">
      <c r="A283" s="176"/>
      <c r="B283" s="176"/>
      <c r="D283" s="1268"/>
      <c r="E283" s="1268"/>
      <c r="F283" s="1268"/>
    </row>
    <row r="284" spans="1:6">
      <c r="A284" s="176"/>
      <c r="B284" s="176"/>
      <c r="D284" s="1268"/>
      <c r="E284" s="1268"/>
      <c r="F284" s="1268"/>
    </row>
    <row r="285" spans="1:6">
      <c r="A285" s="176"/>
      <c r="B285" s="176"/>
      <c r="D285" s="1268"/>
      <c r="E285" s="1268"/>
      <c r="F285" s="1268"/>
    </row>
    <row r="286" spans="1:6">
      <c r="A286" s="176"/>
      <c r="B286" s="176"/>
      <c r="D286" s="1268"/>
      <c r="E286" s="1268"/>
      <c r="F286" s="1268"/>
    </row>
    <row r="287" spans="1:6">
      <c r="A287" s="176"/>
      <c r="B287" s="176"/>
      <c r="D287" s="1268"/>
      <c r="E287" s="1268"/>
      <c r="F287" s="1268"/>
    </row>
    <row r="288" spans="1:6">
      <c r="A288" s="176"/>
      <c r="B288" s="176"/>
      <c r="D288" s="1268"/>
      <c r="E288" s="1268"/>
      <c r="F288" s="1268"/>
    </row>
    <row r="289" spans="1:6">
      <c r="A289" s="176"/>
      <c r="B289" s="176"/>
      <c r="D289" s="1268"/>
      <c r="E289" s="1268"/>
      <c r="F289" s="1268"/>
    </row>
    <row r="290" spans="1:6">
      <c r="A290" s="176"/>
      <c r="B290" s="176"/>
      <c r="D290" s="1268"/>
      <c r="E290" s="1268"/>
      <c r="F290" s="1268"/>
    </row>
    <row r="291" spans="1:6">
      <c r="A291" s="176"/>
      <c r="B291" s="176"/>
      <c r="D291" s="1268"/>
      <c r="E291" s="1268"/>
      <c r="F291" s="1268"/>
    </row>
    <row r="292" spans="1:6">
      <c r="A292" s="176"/>
      <c r="B292" s="176"/>
      <c r="D292" s="1268"/>
      <c r="E292" s="1268"/>
      <c r="F292" s="1268"/>
    </row>
    <row r="293" spans="1:6">
      <c r="A293" s="176"/>
      <c r="B293" s="176"/>
      <c r="D293" s="1268"/>
      <c r="E293" s="1268"/>
      <c r="F293" s="1268"/>
    </row>
    <row r="294" spans="1:6">
      <c r="A294" s="176"/>
      <c r="B294" s="176"/>
      <c r="D294" s="1268"/>
      <c r="E294" s="1268"/>
      <c r="F294" s="1268"/>
    </row>
    <row r="295" spans="1:6">
      <c r="A295" s="176"/>
      <c r="B295" s="176"/>
      <c r="D295" s="1268"/>
      <c r="E295" s="1268"/>
      <c r="F295" s="1268"/>
    </row>
    <row r="296" spans="1:6">
      <c r="D296" s="35"/>
      <c r="E296" s="35"/>
      <c r="F296" s="35"/>
    </row>
    <row r="297" spans="1:6">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4" thickBot="1">
      <c r="D314" s="1291" t="s">
        <v>998</v>
      </c>
      <c r="E314" s="1291"/>
      <c r="F314" s="1291"/>
      <c r="G314"/>
    </row>
    <row r="315" spans="1:7" ht="14" thickTop="1">
      <c r="D315" s="1292" t="s">
        <v>1222</v>
      </c>
      <c r="E315" s="1292"/>
      <c r="F315" s="1292"/>
      <c r="G315"/>
    </row>
    <row r="316" spans="1:7">
      <c r="A316" s="218"/>
      <c r="B316" s="218"/>
      <c r="C316" s="218"/>
      <c r="D316" s="220"/>
      <c r="E316" s="220"/>
      <c r="F316" s="35"/>
      <c r="G316"/>
    </row>
    <row r="317" spans="1:7">
      <c r="A317" s="176"/>
      <c r="B317" s="468" t="s">
        <v>307</v>
      </c>
      <c r="C317" s="218"/>
      <c r="D317" s="1281" t="s">
        <v>1223</v>
      </c>
      <c r="E317" s="1281"/>
      <c r="F317" s="1281"/>
      <c r="G317"/>
    </row>
    <row r="318" spans="1:7">
      <c r="A318" s="218"/>
      <c r="B318" s="218"/>
      <c r="C318" s="218"/>
      <c r="D318" s="220"/>
      <c r="E318" s="220"/>
      <c r="F318" s="35"/>
      <c r="G318"/>
    </row>
    <row r="319" spans="1:7">
      <c r="A319" s="218"/>
      <c r="B319" s="468" t="s">
        <v>307</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c r="A331" s="176"/>
      <c r="B331" s="468" t="s">
        <v>307</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c r="A367" s="176"/>
      <c r="B367" s="468" t="s">
        <v>307</v>
      </c>
      <c r="C367" s="218"/>
      <c r="D367" s="1277" t="s">
        <v>1229</v>
      </c>
      <c r="E367" s="1277"/>
      <c r="F367" s="1277"/>
      <c r="G367"/>
    </row>
    <row r="368" spans="1:7">
      <c r="A368" s="346"/>
      <c r="B368" s="346"/>
      <c r="C368" s="218"/>
      <c r="D368" s="1277"/>
      <c r="E368" s="1277"/>
      <c r="F368" s="1277"/>
      <c r="G368"/>
    </row>
    <row r="369" spans="1:7">
      <c r="A369" s="346"/>
      <c r="B369" s="346"/>
      <c r="C369" s="218"/>
      <c r="D369" s="1277"/>
      <c r="E369" s="1277"/>
      <c r="F369" s="1277"/>
      <c r="G369"/>
    </row>
    <row r="370" spans="1:7">
      <c r="A370" s="346"/>
      <c r="B370" s="346"/>
      <c r="C370" s="218"/>
      <c r="D370" s="1277"/>
      <c r="E370" s="1277"/>
      <c r="F370" s="1277"/>
      <c r="G370"/>
    </row>
    <row r="371" spans="1:7">
      <c r="A371" s="346"/>
      <c r="B371" s="346"/>
      <c r="C371" s="218"/>
      <c r="D371" s="1277"/>
      <c r="E371" s="1277"/>
      <c r="F371" s="1277"/>
      <c r="G371"/>
    </row>
    <row r="372" spans="1:7">
      <c r="D372" s="35"/>
      <c r="E372" s="35"/>
      <c r="F372" s="35"/>
      <c r="G372"/>
    </row>
    <row r="373" spans="1:7">
      <c r="A373" s="176"/>
      <c r="B373" s="468" t="s">
        <v>307</v>
      </c>
      <c r="C373" s="179"/>
      <c r="D373" s="1268" t="s">
        <v>1230</v>
      </c>
      <c r="E373" s="1268"/>
      <c r="F373" s="1268"/>
      <c r="G373"/>
    </row>
    <row r="374" spans="1:7">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c r="A405" s="176"/>
      <c r="B405" s="468" t="s">
        <v>307</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c r="B416" s="468" t="s">
        <v>307</v>
      </c>
      <c r="C416" s="176"/>
      <c r="D416" s="1268" t="s">
        <v>1234</v>
      </c>
      <c r="E416" s="1268"/>
      <c r="F416" s="1268"/>
      <c r="G416"/>
    </row>
    <row r="417" spans="1:7">
      <c r="D417" s="1268"/>
      <c r="E417" s="1268"/>
      <c r="F417" s="1268"/>
      <c r="G417"/>
    </row>
    <row r="418" spans="1:7">
      <c r="D418" s="35"/>
      <c r="E418" s="35"/>
      <c r="F418" s="35"/>
      <c r="G418"/>
    </row>
    <row r="419" spans="1:7">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c r="A445" s="176"/>
      <c r="B445" s="176"/>
      <c r="D445" s="1281" t="s">
        <v>1238</v>
      </c>
      <c r="E445" s="1281"/>
      <c r="F445" s="1281"/>
    </row>
    <row r="446" spans="1:7">
      <c r="A446" s="176"/>
      <c r="B446" s="176"/>
      <c r="D446" s="481"/>
      <c r="E446" s="3"/>
      <c r="F446" s="3"/>
    </row>
    <row r="447" spans="1:7">
      <c r="A447" s="176"/>
      <c r="B447" s="468" t="s">
        <v>307</v>
      </c>
      <c r="D447" s="1277" t="s">
        <v>1239</v>
      </c>
      <c r="E447" s="1277"/>
      <c r="F447" s="1277"/>
    </row>
    <row r="448" spans="1:7">
      <c r="A448" s="176"/>
      <c r="B448" s="176"/>
      <c r="D448" s="1277"/>
      <c r="E448" s="1277"/>
      <c r="F448" s="1277"/>
    </row>
    <row r="449" spans="1:7">
      <c r="A449" s="176"/>
      <c r="B449" s="176"/>
      <c r="D449" s="118"/>
      <c r="E449" s="3"/>
      <c r="F449" s="3"/>
    </row>
    <row r="450" spans="1:7">
      <c r="B450" s="468" t="s">
        <v>307</v>
      </c>
      <c r="D450" s="1282" t="s">
        <v>1240</v>
      </c>
      <c r="E450" s="1282"/>
      <c r="F450" s="1282"/>
    </row>
    <row r="451" spans="1:7">
      <c r="A451" s="176"/>
      <c r="D451" s="1282"/>
      <c r="E451" s="1282"/>
      <c r="F451" s="1282"/>
    </row>
    <row r="452" spans="1:7">
      <c r="A452" s="176"/>
      <c r="B452" s="176"/>
      <c r="D452" s="1282"/>
      <c r="E452" s="1282"/>
      <c r="F452" s="1282"/>
    </row>
    <row r="453" spans="1:7">
      <c r="A453" s="176"/>
      <c r="B453" s="176"/>
      <c r="D453" s="1282"/>
      <c r="E453" s="1282"/>
      <c r="F453" s="1282"/>
    </row>
    <row r="454" spans="1:7">
      <c r="D454" s="3"/>
      <c r="E454" s="3"/>
      <c r="F454" s="3"/>
      <c r="G454"/>
    </row>
    <row r="455" spans="1:7">
      <c r="A455" s="176"/>
      <c r="B455" s="468" t="s">
        <v>307</v>
      </c>
      <c r="D455" s="1268" t="s">
        <v>1241</v>
      </c>
      <c r="E455" s="1268"/>
      <c r="F455" s="1268"/>
      <c r="G455"/>
    </row>
    <row r="456" spans="1:7">
      <c r="A456" s="176"/>
      <c r="B456" s="176"/>
      <c r="D456" s="1268"/>
      <c r="E456" s="1268"/>
      <c r="F456" s="1268"/>
      <c r="G456"/>
    </row>
    <row r="457" spans="1:7">
      <c r="A457" s="176"/>
      <c r="D457" s="1268"/>
      <c r="E457" s="1268"/>
      <c r="F457" s="1268"/>
      <c r="G457"/>
    </row>
    <row r="458" spans="1:7">
      <c r="A458" s="176"/>
      <c r="B458" s="176"/>
      <c r="D458" s="3"/>
      <c r="E458" s="3"/>
      <c r="F458" s="3"/>
      <c r="G458"/>
    </row>
    <row r="459" spans="1:7">
      <c r="A459" s="176"/>
      <c r="B459" s="468" t="s">
        <v>307</v>
      </c>
      <c r="D459" s="1279" t="s">
        <v>1242</v>
      </c>
      <c r="E459" s="1279"/>
      <c r="F459" s="1279"/>
      <c r="G459"/>
    </row>
    <row r="460" spans="1:7">
      <c r="A460" s="176"/>
      <c r="B460" s="176"/>
      <c r="D460" s="118"/>
      <c r="E460" s="3"/>
      <c r="F460" s="3"/>
      <c r="G460"/>
    </row>
    <row r="461" spans="1:7">
      <c r="A461" s="176"/>
      <c r="B461" s="468" t="s">
        <v>307</v>
      </c>
      <c r="D461" s="1268" t="s">
        <v>1243</v>
      </c>
      <c r="E461" s="1268"/>
      <c r="F461" s="1268"/>
      <c r="G461"/>
    </row>
    <row r="462" spans="1:7">
      <c r="A462" s="176"/>
      <c r="D462" s="1268"/>
      <c r="E462" s="1268"/>
      <c r="F462" s="1268"/>
      <c r="G462"/>
    </row>
    <row r="463" spans="1:7">
      <c r="A463" s="13"/>
      <c r="B463" s="13"/>
      <c r="D463" s="481"/>
      <c r="E463" s="3"/>
      <c r="F463" s="3"/>
      <c r="G463"/>
    </row>
    <row r="464" spans="1:7">
      <c r="A464" s="13"/>
      <c r="B464" s="468" t="s">
        <v>307</v>
      </c>
      <c r="D464" s="1279" t="s">
        <v>1244</v>
      </c>
      <c r="E464" s="1279"/>
      <c r="F464" s="1279"/>
      <c r="G464"/>
    </row>
    <row r="465" spans="1:7">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2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 customHeight="1">
      <c r="A485" s="175"/>
      <c r="B485" s="175"/>
      <c r="C485" s="175"/>
      <c r="D485" s="220"/>
      <c r="F485" s="35"/>
    </row>
    <row r="486" spans="1:6" ht="14.5" customHeight="1">
      <c r="A486" s="176"/>
      <c r="B486" s="468"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5" customHeight="1">
      <c r="A500" s="175"/>
      <c r="B500" s="468" t="s">
        <v>307</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25" customHeight="1">
      <c r="A519" s="176"/>
      <c r="B519" s="468" t="s">
        <v>307</v>
      </c>
      <c r="C519" s="179"/>
      <c r="D519" s="1279" t="s">
        <v>896</v>
      </c>
      <c r="E519" s="1279"/>
      <c r="F519" s="1279"/>
      <c r="G519"/>
    </row>
    <row r="520" spans="1:7" ht="13.25" customHeight="1">
      <c r="A520" s="179"/>
      <c r="B520" s="179"/>
      <c r="C520" s="179"/>
      <c r="D520" s="118"/>
      <c r="E520"/>
      <c r="F520"/>
      <c r="G520"/>
    </row>
    <row r="521" spans="1:7">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c r="A543" s="176"/>
      <c r="B543" s="468" t="s">
        <v>307</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c r="A546" s="176"/>
      <c r="B546" s="176"/>
      <c r="C546" s="179"/>
      <c r="E546" s="35"/>
      <c r="F546" s="35"/>
    </row>
    <row r="547" spans="1:7">
      <c r="A547" s="176"/>
      <c r="B547" s="468" t="s">
        <v>307</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c r="A552" s="176"/>
      <c r="B552" s="468" t="s">
        <v>307</v>
      </c>
      <c r="C552" s="179"/>
      <c r="D552" s="1268" t="s">
        <v>1149</v>
      </c>
      <c r="E552" s="1268"/>
      <c r="F552" s="1268"/>
    </row>
    <row r="553" spans="1:7">
      <c r="A553" s="176"/>
      <c r="B553" s="176"/>
      <c r="C553" s="179"/>
      <c r="D553" s="1268"/>
      <c r="E553" s="1268"/>
      <c r="F553" s="1268"/>
    </row>
    <row r="554" spans="1:7">
      <c r="A554" s="176"/>
      <c r="B554" s="176"/>
      <c r="C554" s="179"/>
      <c r="D554" s="1268"/>
      <c r="E554" s="1268"/>
      <c r="F554" s="1268"/>
    </row>
    <row r="555" spans="1:7">
      <c r="A555" s="176"/>
      <c r="B555" s="176"/>
      <c r="C555" s="179"/>
      <c r="D555" s="1268"/>
      <c r="E555" s="1268"/>
      <c r="F555" s="1268"/>
    </row>
    <row r="556" spans="1:7">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1098</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1101</v>
      </c>
      <c r="E573" s="1282"/>
      <c r="F573" s="1282"/>
    </row>
    <row r="574" spans="1:6">
      <c r="A574" s="13"/>
      <c r="B574" s="13"/>
      <c r="D574" s="1282"/>
      <c r="E574" s="1282"/>
      <c r="F574" s="1282"/>
    </row>
    <row r="575" spans="1:6">
      <c r="A575" s="13"/>
      <c r="B575" s="13"/>
      <c r="D575" s="255"/>
    </row>
    <row r="576" spans="1:6">
      <c r="A576" s="13"/>
      <c r="B576" s="468" t="s">
        <v>307</v>
      </c>
      <c r="D576" s="1282" t="s">
        <v>1102</v>
      </c>
      <c r="E576" s="1282"/>
      <c r="F576" s="1282"/>
    </row>
    <row r="577" spans="1:7">
      <c r="A577" s="13"/>
      <c r="B577" s="13"/>
      <c r="D577" s="1282"/>
      <c r="E577" s="1282"/>
      <c r="F577" s="1282"/>
    </row>
    <row r="578" spans="1:7">
      <c r="A578" s="13"/>
      <c r="B578" s="13"/>
      <c r="D578" s="255"/>
    </row>
    <row r="579" spans="1:7">
      <c r="A579" s="176"/>
      <c r="B579" s="468" t="s">
        <v>307</v>
      </c>
      <c r="D579" s="1282" t="s">
        <v>897</v>
      </c>
      <c r="E579" s="1282"/>
      <c r="F579" s="1282"/>
    </row>
    <row r="580" spans="1:7">
      <c r="A580" s="176"/>
      <c r="B580" s="176"/>
      <c r="D580" s="255"/>
    </row>
    <row r="581" spans="1:7">
      <c r="A581" s="176"/>
      <c r="B581" s="468" t="s">
        <v>307</v>
      </c>
      <c r="D581" s="1282" t="s">
        <v>1103</v>
      </c>
      <c r="E581" s="1282"/>
      <c r="F581" s="1282"/>
    </row>
    <row r="582" spans="1:7">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c r="A593" s="176"/>
      <c r="B593" s="468" t="s">
        <v>307</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1188</v>
      </c>
      <c r="E605" s="1293"/>
      <c r="F605" s="1293"/>
    </row>
    <row r="606" spans="1:7">
      <c r="D606" s="1293"/>
      <c r="E606" s="1293"/>
      <c r="F606" s="1293"/>
    </row>
    <row r="607" spans="1:7">
      <c r="D607"/>
    </row>
    <row r="608" spans="1:7">
      <c r="B608" s="468" t="s">
        <v>307</v>
      </c>
      <c r="D608" s="1293" t="s">
        <v>1189</v>
      </c>
      <c r="E608" s="1293"/>
      <c r="F608" s="1293"/>
    </row>
    <row r="609" spans="1:7">
      <c r="C609" s="180"/>
      <c r="D609" s="1293"/>
      <c r="E609" s="1293"/>
      <c r="F609" s="1293"/>
    </row>
    <row r="610" spans="1:7">
      <c r="C610" s="180"/>
    </row>
    <row r="611" spans="1:7">
      <c r="B611" s="468" t="s">
        <v>307</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c r="A618" s="176"/>
      <c r="B618" s="468" t="s">
        <v>307</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c r="A625" s="176"/>
      <c r="B625" s="468" t="s">
        <v>307</v>
      </c>
      <c r="D625" s="1295" t="s">
        <v>1193</v>
      </c>
      <c r="E625" s="1295"/>
      <c r="F625" s="1295"/>
    </row>
    <row r="626" spans="1:7">
      <c r="A626" s="179"/>
      <c r="B626" s="179"/>
      <c r="C626" s="179"/>
      <c r="D626" s="1295"/>
      <c r="E626" s="1295"/>
      <c r="F626" s="1295"/>
    </row>
    <row r="627" spans="1:7">
      <c r="A627" s="179"/>
      <c r="B627" s="179"/>
      <c r="C627" s="179"/>
      <c r="D627" s="35"/>
      <c r="E627" s="35"/>
      <c r="F627" s="35"/>
    </row>
    <row r="628" spans="1:7">
      <c r="A628" s="176"/>
      <c r="B628" s="468" t="s">
        <v>307</v>
      </c>
      <c r="C628" s="179"/>
      <c r="D628" s="1295" t="s">
        <v>1194</v>
      </c>
      <c r="E628" s="1295"/>
      <c r="F628" s="1295"/>
    </row>
    <row r="629" spans="1:7">
      <c r="A629" s="176"/>
      <c r="B629" s="176"/>
      <c r="C629" s="179"/>
      <c r="D629" s="1295"/>
      <c r="E629" s="1295"/>
      <c r="F629" s="1295"/>
    </row>
    <row r="630" spans="1:7">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5" customHeight="1">
      <c r="A640" s="176"/>
      <c r="B640" s="468" t="s">
        <v>307</v>
      </c>
      <c r="C640" s="179"/>
      <c r="D640" s="1268" t="s">
        <v>1247</v>
      </c>
      <c r="E640" s="1268"/>
      <c r="F640" s="1268"/>
    </row>
    <row r="641" spans="1:11">
      <c r="A641" s="176"/>
      <c r="B641" s="176"/>
      <c r="C641" s="179"/>
      <c r="D641" s="1268"/>
      <c r="E641" s="1268"/>
      <c r="F641" s="1268"/>
    </row>
    <row r="642" spans="1:11">
      <c r="A642" s="176"/>
      <c r="B642" s="176"/>
      <c r="C642" s="179"/>
      <c r="D642" s="1268"/>
      <c r="E642" s="1268"/>
      <c r="F642" s="1268"/>
    </row>
    <row r="643" spans="1:11">
      <c r="A643" s="176"/>
      <c r="B643" s="176"/>
      <c r="C643" s="179"/>
      <c r="D643" s="1268"/>
      <c r="E643" s="1268"/>
      <c r="F643" s="1268"/>
    </row>
    <row r="644" spans="1:11">
      <c r="A644" s="176"/>
      <c r="B644" s="176"/>
      <c r="C644" s="179"/>
      <c r="D644" s="1268"/>
      <c r="E644" s="1268"/>
      <c r="F644" s="1268"/>
    </row>
    <row r="645" spans="1:11">
      <c r="A645" s="176"/>
      <c r="B645" s="176"/>
      <c r="C645" s="179"/>
      <c r="D645" s="474"/>
      <c r="E645" s="474"/>
      <c r="F645" s="474"/>
    </row>
    <row r="646" spans="1:11">
      <c r="A646" s="176"/>
      <c r="B646" s="468" t="s">
        <v>307</v>
      </c>
      <c r="C646" s="179"/>
      <c r="D646" s="1307" t="s">
        <v>1097</v>
      </c>
      <c r="E646" s="1307"/>
      <c r="F646" s="1307"/>
    </row>
    <row r="647" spans="1:11">
      <c r="A647" s="176"/>
      <c r="B647" s="176"/>
      <c r="C647" s="179"/>
      <c r="D647" s="1308" t="s">
        <v>1248</v>
      </c>
      <c r="E647" s="1308"/>
      <c r="F647" s="1308"/>
    </row>
    <row r="648" spans="1:11">
      <c r="A648" s="176"/>
      <c r="B648" s="176"/>
      <c r="C648" s="179"/>
      <c r="D648" s="1308"/>
      <c r="E648" s="1308"/>
      <c r="F648" s="1308"/>
    </row>
    <row r="649" spans="1:11">
      <c r="A649" s="176"/>
      <c r="B649" s="176"/>
      <c r="C649" s="179"/>
      <c r="D649" s="1308"/>
      <c r="E649" s="1308"/>
      <c r="F649" s="1308"/>
    </row>
    <row r="650" spans="1:11">
      <c r="A650" s="176"/>
      <c r="B650" s="176"/>
      <c r="C650" s="179"/>
      <c r="D650" s="1308"/>
      <c r="E650" s="1308"/>
      <c r="F650" s="1308"/>
    </row>
    <row r="651" spans="1:11">
      <c r="A651" s="176"/>
      <c r="B651" s="176"/>
      <c r="C651" s="179"/>
      <c r="D651" s="1308"/>
      <c r="E651" s="1308"/>
      <c r="F651" s="1308"/>
    </row>
    <row r="652" spans="1:11">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c r="A669" s="176"/>
      <c r="B669" s="468" t="s">
        <v>307</v>
      </c>
      <c r="C669" s="175"/>
      <c r="D669" s="1279" t="s">
        <v>936</v>
      </c>
      <c r="E669" s="1279"/>
      <c r="F669" s="1279"/>
      <c r="H669" s="181"/>
      <c r="I669" s="181"/>
      <c r="J669" s="181"/>
      <c r="K669" s="181"/>
    </row>
    <row r="670" spans="1:11">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c r="A743" s="176"/>
      <c r="B743" s="468" t="s">
        <v>307</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c r="A759" s="176"/>
      <c r="B759" s="468" t="s">
        <v>307</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19" t="s">
        <v>2060</v>
      </c>
      <c r="B2" s="1320"/>
      <c r="C2" s="1320"/>
      <c r="D2" s="1320"/>
      <c r="E2" s="1320"/>
      <c r="F2" s="1320"/>
      <c r="G2" s="1320"/>
      <c r="H2" s="1320"/>
      <c r="I2" s="1320"/>
      <c r="J2" s="1320"/>
    </row>
    <row r="3" spans="1:10" ht="16">
      <c r="A3" s="1323" t="s">
        <v>1378</v>
      </c>
      <c r="B3" s="1324"/>
      <c r="C3" s="1324"/>
      <c r="D3" s="1324"/>
      <c r="E3" s="1324"/>
      <c r="F3" s="1324"/>
      <c r="G3" s="1324"/>
      <c r="H3" s="1324"/>
      <c r="I3" s="1324"/>
      <c r="J3" s="1324"/>
    </row>
    <row r="4" spans="1:10" ht="13"/>
    <row r="5" spans="1:10" ht="12.75" customHeight="1">
      <c r="A5" s="1321" t="s">
        <v>2361</v>
      </c>
      <c r="B5" s="1321"/>
      <c r="C5" s="1321"/>
      <c r="D5" s="1321"/>
      <c r="E5" s="1321"/>
      <c r="F5" s="1321"/>
      <c r="G5" s="1321"/>
      <c r="H5" s="1321"/>
      <c r="I5" s="1321"/>
      <c r="J5" s="1321"/>
    </row>
    <row r="6" spans="1:10" ht="13">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5" t="s">
        <v>2065</v>
      </c>
      <c r="B11" s="1325"/>
      <c r="C11" s="1325"/>
      <c r="D11" s="1325"/>
      <c r="E11" s="1325"/>
      <c r="F11" s="1325"/>
      <c r="G11" s="1325"/>
      <c r="H11" s="1325"/>
      <c r="I11" s="1325"/>
      <c r="J11" s="1325"/>
    </row>
    <row r="12" spans="1:10" ht="13">
      <c r="A12" s="1325"/>
      <c r="B12" s="1325"/>
      <c r="C12" s="1325"/>
      <c r="D12" s="1325"/>
      <c r="E12" s="1325"/>
      <c r="F12" s="1325"/>
      <c r="G12" s="1325"/>
      <c r="H12" s="1325"/>
      <c r="I12" s="1325"/>
      <c r="J12" s="1325"/>
    </row>
    <row r="13" spans="1:10" ht="13">
      <c r="A13" s="1325"/>
      <c r="B13" s="1325"/>
      <c r="C13" s="1325"/>
      <c r="D13" s="1325"/>
      <c r="E13" s="1325"/>
      <c r="F13" s="1325"/>
      <c r="G13" s="1325"/>
      <c r="H13" s="1325"/>
      <c r="I13" s="1325"/>
      <c r="J13" s="1325"/>
    </row>
    <row r="14" spans="1:10" ht="13">
      <c r="A14" s="1325"/>
      <c r="B14" s="1325"/>
      <c r="C14" s="1325"/>
      <c r="D14" s="1325"/>
      <c r="E14" s="1325"/>
      <c r="F14" s="1325"/>
      <c r="G14" s="1325"/>
      <c r="H14" s="1325"/>
      <c r="I14" s="1325"/>
      <c r="J14" s="1325"/>
    </row>
    <row r="15" spans="1:10" ht="13">
      <c r="A15" s="1325"/>
      <c r="B15" s="1325"/>
      <c r="C15" s="1325"/>
      <c r="D15" s="1325"/>
      <c r="E15" s="1325"/>
      <c r="F15" s="1325"/>
      <c r="G15" s="1325"/>
      <c r="H15" s="1325"/>
      <c r="I15" s="1325"/>
      <c r="J15" s="1325"/>
    </row>
    <row r="16" spans="1:10" ht="13">
      <c r="A16" s="1325"/>
      <c r="B16" s="1325"/>
      <c r="C16" s="1325"/>
      <c r="D16" s="1325"/>
      <c r="E16" s="1325"/>
      <c r="F16" s="1325"/>
      <c r="G16" s="1325"/>
      <c r="H16" s="1325"/>
      <c r="I16" s="1325"/>
      <c r="J16" s="1325"/>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4" t="s">
        <v>1295</v>
      </c>
      <c r="B20" s="1324"/>
      <c r="C20" s="1324"/>
      <c r="D20" s="1324"/>
      <c r="E20" s="1324"/>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1" t="s">
        <v>1296</v>
      </c>
      <c r="B57" s="1321"/>
      <c r="C57" s="1321"/>
      <c r="D57" s="1321"/>
      <c r="E57" s="1321"/>
      <c r="F57" s="1321"/>
      <c r="G57" s="1321"/>
      <c r="H57" s="1321"/>
      <c r="I57" s="1321"/>
      <c r="J57" s="1321"/>
    </row>
    <row r="58" spans="1:10" ht="13">
      <c r="A58" s="1321"/>
      <c r="B58" s="1321"/>
      <c r="C58" s="1321"/>
      <c r="D58" s="1321"/>
      <c r="E58" s="1321"/>
      <c r="F58" s="1321"/>
      <c r="G58" s="1321"/>
      <c r="H58" s="1321"/>
      <c r="I58" s="1321"/>
      <c r="J58" s="1321"/>
    </row>
    <row r="59" spans="1:10" ht="13">
      <c r="A59" s="1321"/>
      <c r="B59" s="1321"/>
      <c r="C59" s="1321"/>
      <c r="D59" s="1321"/>
      <c r="E59" s="1321"/>
      <c r="F59" s="1321"/>
      <c r="G59" s="1321"/>
      <c r="H59" s="1321"/>
      <c r="I59" s="1321"/>
      <c r="J59" s="1321"/>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2" t="s">
        <v>2061</v>
      </c>
      <c r="B72" s="1322"/>
      <c r="C72" s="1322"/>
      <c r="D72" s="1322"/>
      <c r="E72" s="1322"/>
      <c r="F72" s="1322"/>
      <c r="G72" s="1322"/>
      <c r="H72" s="1322"/>
      <c r="I72" s="1322"/>
    </row>
    <row r="73" spans="1:9" ht="13">
      <c r="A73" s="1274" t="s">
        <v>2359</v>
      </c>
      <c r="B73" s="1274"/>
      <c r="C73" s="1274"/>
      <c r="D73" s="1274"/>
      <c r="E73" s="1274"/>
    </row>
    <row r="74" spans="1:9" ht="13">
      <c r="A74" s="1274" t="s">
        <v>2360</v>
      </c>
      <c r="B74" s="1274"/>
      <c r="C74" s="1274"/>
      <c r="D74" s="1274"/>
      <c r="E74" s="1274"/>
    </row>
    <row r="75" spans="1:9" ht="13">
      <c r="A75" s="1274" t="s">
        <v>2062</v>
      </c>
      <c r="B75" s="1274"/>
      <c r="C75" s="1274"/>
      <c r="D75" s="1274"/>
      <c r="E75" s="1274"/>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5"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c r="A15" s="518"/>
      <c r="B15" s="519" t="s">
        <v>307</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c r="A20" s="518"/>
      <c r="B20" s="519" t="s">
        <v>307</v>
      </c>
      <c r="D20" s="1295" t="s">
        <v>2223</v>
      </c>
      <c r="E20" s="1295"/>
      <c r="F20" s="1295"/>
      <c r="I20" s="524" t="s">
        <v>2074</v>
      </c>
    </row>
    <row r="21" spans="1:9">
      <c r="A21" s="518"/>
      <c r="D21" s="1295"/>
      <c r="E21" s="1295"/>
      <c r="F21" s="1295"/>
      <c r="I21" s="524"/>
    </row>
    <row r="22" spans="1:9">
      <c r="A22" s="518"/>
      <c r="D22" s="423"/>
      <c r="E22" s="96" t="s">
        <v>2219</v>
      </c>
      <c r="F22" s="423"/>
      <c r="I22" s="524"/>
    </row>
    <row r="23" spans="1:9">
      <c r="A23" s="518"/>
      <c r="B23" s="518"/>
      <c r="D23" s="480"/>
      <c r="I23" s="524"/>
    </row>
    <row r="24" spans="1:9">
      <c r="A24" s="518"/>
      <c r="B24" s="519" t="s">
        <v>307</v>
      </c>
      <c r="D24" s="1295" t="s">
        <v>1153</v>
      </c>
      <c r="E24" s="1295"/>
      <c r="F24" s="1295"/>
      <c r="I24" s="524" t="s">
        <v>2074</v>
      </c>
    </row>
    <row r="25" spans="1:9">
      <c r="A25" s="518"/>
      <c r="B25" s="518"/>
      <c r="D25" s="1295"/>
      <c r="E25" s="1295"/>
      <c r="F25" s="1295"/>
      <c r="I25" s="524"/>
    </row>
    <row r="26" spans="1:9">
      <c r="I26" s="524"/>
    </row>
    <row r="27" spans="1:9">
      <c r="A27" s="518"/>
      <c r="B27" s="519" t="s">
        <v>307</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307</v>
      </c>
      <c r="D33" s="1295" t="s">
        <v>2363</v>
      </c>
      <c r="E33" s="1295"/>
      <c r="F33" s="1295"/>
      <c r="I33" s="524" t="s">
        <v>2073</v>
      </c>
    </row>
    <row r="34" spans="1:9">
      <c r="D34" s="1295"/>
      <c r="E34" s="1295"/>
      <c r="F34" s="1295"/>
      <c r="I34" s="524"/>
    </row>
    <row r="35" spans="1:9">
      <c r="A35" s="518"/>
      <c r="B35" s="518"/>
      <c r="D35" s="481"/>
      <c r="I35" s="524"/>
    </row>
    <row r="36" spans="1:9" ht="14.5" customHeight="1">
      <c r="A36" s="518"/>
      <c r="B36" s="519" t="s">
        <v>307</v>
      </c>
      <c r="D36" s="1295" t="s">
        <v>1320</v>
      </c>
      <c r="E36" s="1295"/>
      <c r="F36" s="1295"/>
      <c r="I36" s="524" t="s">
        <v>2144</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307</v>
      </c>
      <c r="D41" s="1295" t="s">
        <v>1157</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307</v>
      </c>
      <c r="D47" s="1295" t="s">
        <v>1158</v>
      </c>
      <c r="E47" s="1295"/>
      <c r="F47" s="1295"/>
      <c r="I47" s="524" t="s">
        <v>2144</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5" customHeight="1">
      <c r="A52" s="518"/>
      <c r="B52" s="519" t="s">
        <v>307</v>
      </c>
      <c r="D52" s="1295" t="s">
        <v>1159</v>
      </c>
      <c r="E52" s="1295"/>
      <c r="F52" s="1295"/>
      <c r="I52" s="524" t="s">
        <v>2144</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307</v>
      </c>
      <c r="D56" s="1344" t="s">
        <v>1160</v>
      </c>
      <c r="E56" s="1344"/>
      <c r="F56" s="1344"/>
      <c r="I56" s="524"/>
    </row>
    <row r="57" spans="1:9">
      <c r="A57" s="518"/>
      <c r="B57" s="518"/>
      <c r="D57" s="1344"/>
      <c r="E57" s="1344"/>
      <c r="F57" s="1344"/>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307</v>
      </c>
      <c r="D61" s="1295" t="s">
        <v>1161</v>
      </c>
      <c r="E61" s="1295"/>
      <c r="F61" s="1295"/>
      <c r="I61" s="524" t="s">
        <v>2075</v>
      </c>
    </row>
    <row r="62" spans="1:9">
      <c r="D62" s="1295"/>
      <c r="E62" s="1295"/>
      <c r="F62" s="1295"/>
      <c r="I62" s="524"/>
    </row>
    <row r="63" spans="1:9">
      <c r="D63" s="1295"/>
      <c r="E63" s="1295"/>
      <c r="F63" s="1295"/>
      <c r="I63" s="524"/>
    </row>
    <row r="64" spans="1:9">
      <c r="I64" s="524"/>
    </row>
    <row r="65" spans="1:9">
      <c r="A65" s="518"/>
      <c r="B65" s="519" t="s">
        <v>307</v>
      </c>
      <c r="D65" s="1295" t="s">
        <v>1162</v>
      </c>
      <c r="E65" s="1295"/>
      <c r="F65" s="1295"/>
      <c r="I65" s="524" t="s">
        <v>2076</v>
      </c>
    </row>
    <row r="66" spans="1:9">
      <c r="D66" s="1295"/>
      <c r="E66" s="1295"/>
      <c r="F66" s="1295"/>
      <c r="I66" s="524"/>
    </row>
    <row r="67" spans="1:9">
      <c r="I67" s="524"/>
    </row>
    <row r="68" spans="1:9">
      <c r="A68" s="518"/>
      <c r="B68" s="519" t="s">
        <v>307</v>
      </c>
      <c r="D68" s="1295" t="s">
        <v>1163</v>
      </c>
      <c r="E68" s="1295"/>
      <c r="F68" s="1295"/>
      <c r="I68" s="524"/>
    </row>
    <row r="69" spans="1:9">
      <c r="D69" s="1295"/>
      <c r="E69" s="1295"/>
      <c r="F69" s="1295"/>
      <c r="I69" s="524" t="s">
        <v>2077</v>
      </c>
    </row>
    <row r="70" spans="1:9">
      <c r="D70" s="1295"/>
      <c r="E70" s="1295"/>
      <c r="F70" s="1295"/>
      <c r="I70" s="524"/>
    </row>
    <row r="71" spans="1:9">
      <c r="I71" s="524"/>
    </row>
    <row r="72" spans="1:9">
      <c r="A72" s="518"/>
      <c r="B72" s="519" t="s">
        <v>307</v>
      </c>
      <c r="D72" s="1295" t="s">
        <v>1164</v>
      </c>
      <c r="E72" s="1295"/>
      <c r="F72" s="1295"/>
      <c r="I72" s="524" t="s">
        <v>2077</v>
      </c>
    </row>
    <row r="73" spans="1:9">
      <c r="D73" s="1295"/>
      <c r="E73" s="1295"/>
      <c r="F73" s="1295"/>
      <c r="I73" s="524"/>
    </row>
    <row r="74" spans="1:9">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5" customHeight="1">
      <c r="A80" s="518"/>
      <c r="B80" s="519" t="s">
        <v>307</v>
      </c>
      <c r="D80" s="1295" t="s">
        <v>1353</v>
      </c>
      <c r="E80" s="1295"/>
      <c r="F80" s="1295"/>
      <c r="I80" s="524" t="s">
        <v>2078</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307</v>
      </c>
      <c r="D89" s="1295" t="s">
        <v>1932</v>
      </c>
      <c r="E89" s="1295"/>
      <c r="F89" s="1295"/>
      <c r="I89" s="524" t="s">
        <v>2079</v>
      </c>
    </row>
    <row r="90" spans="1:9">
      <c r="A90" s="518"/>
      <c r="B90" s="518"/>
      <c r="D90" s="1295"/>
      <c r="E90" s="1295"/>
      <c r="F90" s="1295"/>
      <c r="I90" s="524"/>
    </row>
    <row r="91" spans="1:9">
      <c r="A91" s="518"/>
      <c r="B91" s="518"/>
      <c r="D91" s="479"/>
      <c r="E91" s="479"/>
      <c r="F91" s="479"/>
      <c r="I91" s="524"/>
    </row>
    <row r="92" spans="1:9">
      <c r="A92" s="518"/>
      <c r="B92" s="519" t="s">
        <v>307</v>
      </c>
      <c r="D92" s="1295" t="s">
        <v>1935</v>
      </c>
      <c r="E92" s="1295"/>
      <c r="F92" s="1295"/>
      <c r="I92" s="524" t="s">
        <v>2080</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307</v>
      </c>
      <c r="D96" s="1295" t="s">
        <v>1934</v>
      </c>
      <c r="E96" s="1295"/>
      <c r="F96" s="1295"/>
      <c r="I96" s="524" t="s">
        <v>2125</v>
      </c>
    </row>
    <row r="97" spans="1:9" s="1022" customFormat="1">
      <c r="A97" s="1020"/>
      <c r="B97" s="1020"/>
      <c r="C97" s="1021"/>
      <c r="D97" s="1295"/>
      <c r="E97" s="1295"/>
      <c r="F97" s="1295"/>
      <c r="I97" s="1260"/>
    </row>
    <row r="98" spans="1:9">
      <c r="A98" s="518"/>
      <c r="B98" s="518"/>
      <c r="D98" s="423"/>
      <c r="E98" s="336" t="s">
        <v>2224</v>
      </c>
      <c r="F98" s="479"/>
      <c r="I98" s="524"/>
    </row>
    <row r="99" spans="1:9">
      <c r="A99" s="518"/>
      <c r="B99" s="518"/>
      <c r="D99" s="416"/>
      <c r="E99" s="416"/>
      <c r="F99" s="416"/>
      <c r="I99" s="524"/>
    </row>
    <row r="100" spans="1:9">
      <c r="A100" s="518"/>
      <c r="B100" s="519" t="s">
        <v>307</v>
      </c>
      <c r="D100" s="1295" t="s">
        <v>1933</v>
      </c>
      <c r="E100" s="1295"/>
      <c r="F100" s="1295"/>
      <c r="I100" s="524" t="s">
        <v>2081</v>
      </c>
    </row>
    <row r="101" spans="1:9">
      <c r="A101" s="518"/>
      <c r="B101" s="518"/>
      <c r="D101" s="1295"/>
      <c r="E101" s="1295"/>
      <c r="F101" s="1295"/>
      <c r="I101" s="524"/>
    </row>
    <row r="102" spans="1:9">
      <c r="A102" s="518"/>
      <c r="B102" s="518"/>
      <c r="D102" s="479"/>
      <c r="E102" s="479"/>
      <c r="F102" s="479"/>
      <c r="I102" s="524"/>
    </row>
    <row r="103" spans="1:9" ht="14.5" customHeight="1">
      <c r="A103" s="518"/>
      <c r="B103" s="519" t="s">
        <v>307</v>
      </c>
      <c r="D103" s="1295" t="s">
        <v>1300</v>
      </c>
      <c r="E103" s="1295"/>
      <c r="F103" s="1295"/>
      <c r="I103" s="524" t="s">
        <v>2082</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307</v>
      </c>
      <c r="D119" s="1306" t="s">
        <v>1171</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307</v>
      </c>
      <c r="C128" s="433"/>
      <c r="D128" s="1306" t="s">
        <v>2364</v>
      </c>
      <c r="E128" s="1306"/>
      <c r="F128" s="1306"/>
      <c r="I128" s="524" t="s">
        <v>2083</v>
      </c>
    </row>
    <row r="129" spans="1:9">
      <c r="A129" s="518"/>
      <c r="B129" s="518"/>
      <c r="C129" s="433"/>
      <c r="D129" s="1306"/>
      <c r="E129" s="1306"/>
      <c r="F129" s="1306"/>
      <c r="I129" s="524"/>
    </row>
    <row r="130" spans="1:9">
      <c r="I130" s="524"/>
    </row>
    <row r="131" spans="1:9">
      <c r="A131" s="518"/>
      <c r="B131" s="519" t="s">
        <v>307</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307</v>
      </c>
      <c r="D137" s="1295" t="s">
        <v>1175</v>
      </c>
      <c r="E137" s="1295"/>
      <c r="F137" s="1295"/>
      <c r="I137" s="524" t="s">
        <v>2084</v>
      </c>
    </row>
    <row r="138" spans="1:9" s="448" customFormat="1" ht="13.75" customHeight="1">
      <c r="A138" s="522"/>
      <c r="B138" s="522"/>
      <c r="C138" s="522"/>
      <c r="D138" s="1295"/>
      <c r="E138" s="1295"/>
      <c r="F138" s="1295"/>
      <c r="I138" s="1261"/>
    </row>
    <row r="139" spans="1:9" ht="13.75" customHeight="1">
      <c r="D139" s="1295"/>
      <c r="E139" s="1295"/>
      <c r="F139" s="1295"/>
      <c r="I139" s="524"/>
    </row>
    <row r="140" spans="1:9" ht="13.75" customHeight="1">
      <c r="D140" s="1295"/>
      <c r="E140" s="1295"/>
      <c r="F140" s="1295"/>
      <c r="I140" s="524"/>
    </row>
    <row r="141" spans="1:9" ht="13.75" customHeight="1">
      <c r="D141" s="1295"/>
      <c r="E141" s="1295"/>
      <c r="F141" s="1295"/>
      <c r="I141" s="524"/>
    </row>
    <row r="142" spans="1:9" ht="13.75" customHeight="1">
      <c r="A142" s="523"/>
      <c r="B142" s="523"/>
      <c r="D142" s="1295"/>
      <c r="E142" s="1295"/>
      <c r="F142" s="1295"/>
      <c r="I142" s="524"/>
    </row>
    <row r="143" spans="1:9" ht="13.75" customHeight="1">
      <c r="D143" s="1295"/>
      <c r="E143" s="1295"/>
      <c r="F143" s="1295"/>
      <c r="I143" s="524"/>
    </row>
    <row r="144" spans="1:9" ht="13.75" customHeight="1">
      <c r="D144" s="1295"/>
      <c r="E144" s="1295"/>
      <c r="F144" s="1295"/>
      <c r="I144" s="524"/>
    </row>
    <row r="145" spans="2:9" ht="13.75" customHeight="1">
      <c r="D145" s="1295"/>
      <c r="E145" s="1295"/>
      <c r="F145" s="1295"/>
      <c r="I145" s="524"/>
    </row>
    <row r="146" spans="2:9" ht="13.75" customHeight="1">
      <c r="D146" s="1295"/>
      <c r="E146" s="1295"/>
      <c r="F146" s="1295"/>
      <c r="I146" s="524"/>
    </row>
    <row r="147" spans="2:9" ht="13.75" customHeight="1">
      <c r="D147" s="1295"/>
      <c r="E147" s="1295"/>
      <c r="F147" s="1295"/>
      <c r="I147" s="524"/>
    </row>
    <row r="148" spans="2:9" ht="13.75" customHeight="1">
      <c r="D148" s="1295"/>
      <c r="E148" s="1295"/>
      <c r="F148" s="1295"/>
      <c r="I148" s="524"/>
    </row>
    <row r="149" spans="2:9" ht="13.75" customHeight="1">
      <c r="D149" s="1295"/>
      <c r="E149" s="1295"/>
      <c r="F149" s="1295"/>
      <c r="I149" s="524"/>
    </row>
    <row r="150" spans="2:9" ht="13.75" customHeight="1">
      <c r="D150" s="510"/>
      <c r="E150" s="480"/>
      <c r="F150" s="480"/>
      <c r="I150" s="524"/>
    </row>
    <row r="151" spans="2:9" ht="13.75" customHeight="1">
      <c r="B151" s="519" t="s">
        <v>307</v>
      </c>
      <c r="D151" s="1295" t="s">
        <v>1283</v>
      </c>
      <c r="E151" s="1295"/>
      <c r="F151" s="1295"/>
      <c r="I151" s="524" t="s">
        <v>2085</v>
      </c>
    </row>
    <row r="152" spans="2:9" ht="13.75" customHeight="1">
      <c r="D152" s="1295"/>
      <c r="E152" s="1295"/>
      <c r="F152" s="1295"/>
      <c r="I152" s="524"/>
    </row>
    <row r="153" spans="2:9" ht="13.75" customHeight="1">
      <c r="D153" s="1295"/>
      <c r="E153" s="1295"/>
      <c r="F153" s="1295"/>
      <c r="I153" s="524"/>
    </row>
    <row r="154" spans="2:9" ht="13.75" customHeight="1">
      <c r="D154" s="1295"/>
      <c r="E154" s="1295"/>
      <c r="F154" s="1295"/>
      <c r="I154" s="524"/>
    </row>
    <row r="155" spans="2:9" ht="13.75" customHeight="1">
      <c r="D155" s="1295"/>
      <c r="E155" s="1295"/>
      <c r="F155" s="1295"/>
      <c r="I155" s="524"/>
    </row>
    <row r="156" spans="2:9" ht="13.75" customHeight="1">
      <c r="D156" s="1295"/>
      <c r="E156" s="1295"/>
      <c r="F156" s="1295"/>
      <c r="I156" s="524"/>
    </row>
    <row r="157" spans="2:9" ht="13.75" customHeight="1">
      <c r="D157" s="1295"/>
      <c r="E157" s="1295"/>
      <c r="F157" s="1295"/>
      <c r="I157" s="524"/>
    </row>
    <row r="158" spans="2:9" ht="13.75" customHeight="1">
      <c r="D158" s="1295"/>
      <c r="E158" s="1295"/>
      <c r="F158" s="1295"/>
      <c r="I158" s="524"/>
    </row>
    <row r="159" spans="2:9" ht="13.75" customHeight="1">
      <c r="D159" s="1295"/>
      <c r="E159" s="1295"/>
      <c r="F159" s="1295"/>
      <c r="I159" s="524"/>
    </row>
    <row r="160" spans="2:9" ht="13.75" customHeight="1">
      <c r="D160" s="1295"/>
      <c r="E160" s="1295"/>
      <c r="F160" s="1295"/>
      <c r="I160" s="524"/>
    </row>
    <row r="161" spans="1:9" ht="13.75" customHeight="1">
      <c r="D161" s="1295"/>
      <c r="E161" s="1295"/>
      <c r="F161" s="1295"/>
      <c r="I161" s="524"/>
    </row>
    <row r="162" spans="1:9" ht="13.75" customHeight="1">
      <c r="D162" s="1295"/>
      <c r="E162" s="1295"/>
      <c r="F162" s="1295"/>
      <c r="I162" s="524"/>
    </row>
    <row r="163" spans="1:9" ht="13.75" customHeight="1">
      <c r="D163" s="1295"/>
      <c r="E163" s="1295"/>
      <c r="F163" s="1295"/>
      <c r="I163" s="524"/>
    </row>
    <row r="164" spans="1:9" ht="13.75" customHeight="1">
      <c r="D164" s="1295"/>
      <c r="E164" s="1295"/>
      <c r="F164" s="1295"/>
      <c r="I164" s="524"/>
    </row>
    <row r="165" spans="1:9" ht="13.75" customHeight="1">
      <c r="D165" s="1295"/>
      <c r="E165" s="1295"/>
      <c r="F165" s="1295"/>
      <c r="I165" s="524"/>
    </row>
    <row r="166" spans="1:9" ht="13.75" customHeight="1">
      <c r="D166" s="1295"/>
      <c r="E166" s="1295"/>
      <c r="F166" s="1295"/>
      <c r="I166" s="524"/>
    </row>
    <row r="167" spans="1:9" ht="13.75" customHeight="1">
      <c r="D167" s="1295"/>
      <c r="E167" s="1295"/>
      <c r="F167" s="1295"/>
      <c r="I167" s="524"/>
    </row>
    <row r="168" spans="1:9" ht="13.75" customHeight="1">
      <c r="D168" s="1295"/>
      <c r="E168" s="1295"/>
      <c r="F168" s="1295"/>
      <c r="I168" s="524"/>
    </row>
    <row r="169" spans="1:9" ht="13.75" customHeight="1">
      <c r="D169" s="1340" t="s">
        <v>2388</v>
      </c>
      <c r="E169" s="1340"/>
      <c r="F169" s="1340"/>
      <c r="G169" s="541"/>
      <c r="I169" s="524"/>
    </row>
    <row r="170" spans="1:9" ht="13.75" customHeight="1">
      <c r="D170" s="1281"/>
      <c r="E170" s="1281"/>
      <c r="F170" s="1281"/>
      <c r="G170" s="1281"/>
      <c r="I170" s="524"/>
    </row>
    <row r="171" spans="1:9" ht="14.5" customHeight="1">
      <c r="A171" s="523"/>
      <c r="B171" s="519" t="s">
        <v>307</v>
      </c>
      <c r="C171" s="510"/>
      <c r="D171" s="1277" t="s">
        <v>2578</v>
      </c>
      <c r="E171" s="1277"/>
      <c r="F171" s="1277"/>
      <c r="G171" s="510"/>
      <c r="I171" s="524" t="s">
        <v>2080</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75" customHeight="1">
      <c r="A175" s="523"/>
      <c r="B175" s="523"/>
      <c r="C175" s="510"/>
      <c r="D175" s="1277"/>
      <c r="E175" s="1277"/>
      <c r="F175" s="1277"/>
      <c r="G175" s="510"/>
      <c r="I175" s="524"/>
    </row>
    <row r="176" spans="1:9" ht="13.75" customHeight="1">
      <c r="A176" s="523"/>
      <c r="B176" s="523"/>
      <c r="C176" s="510"/>
      <c r="D176" s="510"/>
      <c r="E176" s="510"/>
      <c r="F176" s="510"/>
      <c r="G176" s="510"/>
      <c r="I176" s="524"/>
    </row>
    <row r="177" spans="1:9" ht="13.75" customHeight="1">
      <c r="A177" s="523"/>
      <c r="B177" s="519" t="s">
        <v>307</v>
      </c>
      <c r="C177" s="510"/>
      <c r="D177" s="1277" t="s">
        <v>1177</v>
      </c>
      <c r="E177" s="1277"/>
      <c r="F177" s="1277"/>
      <c r="G177" s="510"/>
      <c r="I177" s="524" t="s">
        <v>2086</v>
      </c>
    </row>
    <row r="178" spans="1:9" ht="13.75" customHeight="1">
      <c r="A178" s="523"/>
      <c r="B178" s="523"/>
      <c r="C178" s="510"/>
      <c r="D178" s="1277"/>
      <c r="E178" s="1277"/>
      <c r="F178" s="1277"/>
      <c r="G178" s="510"/>
      <c r="I178" s="524"/>
    </row>
    <row r="179" spans="1:9" ht="13.75" customHeight="1">
      <c r="A179" s="523"/>
      <c r="B179" s="523"/>
      <c r="C179" s="510"/>
      <c r="D179" s="1277"/>
      <c r="E179" s="1277"/>
      <c r="F179" s="1277"/>
      <c r="G179" s="510"/>
      <c r="I179" s="524"/>
    </row>
    <row r="180" spans="1:9" ht="13.75" customHeight="1">
      <c r="A180" s="523"/>
      <c r="B180" s="523"/>
      <c r="C180" s="510"/>
      <c r="D180" s="1277"/>
      <c r="E180" s="1277"/>
      <c r="F180" s="1277"/>
      <c r="G180" s="510"/>
      <c r="I180" s="524"/>
    </row>
    <row r="181" spans="1:9" ht="13.75" customHeight="1">
      <c r="D181" s="480"/>
      <c r="E181" s="480"/>
      <c r="F181" s="480"/>
      <c r="I181" s="524"/>
    </row>
    <row r="182" spans="1:9" ht="13.75" customHeight="1">
      <c r="B182" s="519" t="s">
        <v>307</v>
      </c>
      <c r="D182" s="1282" t="s">
        <v>2365</v>
      </c>
      <c r="E182" s="1282"/>
      <c r="F182" s="1282"/>
      <c r="I182" s="524" t="s">
        <v>2087</v>
      </c>
    </row>
    <row r="183" spans="1:9" ht="13.75" customHeight="1">
      <c r="D183" s="1282"/>
      <c r="E183" s="1282"/>
      <c r="F183" s="1282"/>
      <c r="I183" s="524"/>
    </row>
    <row r="184" spans="1:9" ht="13.75" customHeight="1">
      <c r="D184" s="1282"/>
      <c r="E184" s="1282"/>
      <c r="F184" s="1282"/>
      <c r="I184" s="524"/>
    </row>
    <row r="185" spans="1:9" ht="13.75"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5"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307</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307</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307</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c r="A210" s="518"/>
      <c r="B210" s="518"/>
      <c r="D210" s="1279" t="s">
        <v>2202</v>
      </c>
      <c r="E210" s="1279"/>
      <c r="F210" s="1279"/>
      <c r="I210" s="524"/>
    </row>
    <row r="211" spans="1:9">
      <c r="D211" s="416"/>
      <c r="E211" s="1343" t="s">
        <v>2228</v>
      </c>
      <c r="F211" s="1343"/>
      <c r="I211" s="524"/>
    </row>
    <row r="212" spans="1:9">
      <c r="D212" s="481"/>
      <c r="I212" s="524"/>
    </row>
    <row r="213" spans="1:9">
      <c r="B213" s="519" t="s">
        <v>307</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c r="A217" s="518"/>
      <c r="B217" s="519" t="s">
        <v>307</v>
      </c>
      <c r="D217" s="1295" t="s">
        <v>1322</v>
      </c>
      <c r="E217" s="1295"/>
      <c r="F217" s="1295"/>
      <c r="I217" s="524"/>
    </row>
    <row r="218" spans="1:9" ht="14.5"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208</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5" customHeight="1">
      <c r="A227" s="524"/>
      <c r="C227" s="524"/>
      <c r="D227" s="1294" t="s">
        <v>554</v>
      </c>
      <c r="E227" s="1294"/>
      <c r="F227" s="1294"/>
      <c r="I227" s="524" t="s">
        <v>2088</v>
      </c>
    </row>
    <row r="228" spans="1:9">
      <c r="A228" s="518"/>
      <c r="B228" s="519" t="s">
        <v>307</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307</v>
      </c>
      <c r="D233" s="1295" t="s">
        <v>1944</v>
      </c>
      <c r="E233" s="1295"/>
      <c r="F233" s="1295"/>
      <c r="I233" s="524" t="s">
        <v>2089</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1199</v>
      </c>
      <c r="E239" s="1295"/>
      <c r="F239" s="1295"/>
      <c r="I239" s="524" t="s">
        <v>2088</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307</v>
      </c>
      <c r="D245" s="1295" t="s">
        <v>2367</v>
      </c>
      <c r="E245" s="1295"/>
      <c r="F245" s="1295"/>
      <c r="I245" s="524" t="s">
        <v>2127</v>
      </c>
    </row>
    <row r="246" spans="1:9">
      <c r="A246" s="518"/>
      <c r="B246" s="518"/>
      <c r="D246" s="1295"/>
      <c r="E246" s="1295"/>
      <c r="F246" s="1295"/>
      <c r="I246" s="524"/>
    </row>
    <row r="247" spans="1:9">
      <c r="A247" s="518"/>
      <c r="B247" s="518"/>
      <c r="D247" s="1295"/>
      <c r="E247" s="1295"/>
      <c r="F247" s="1295"/>
      <c r="I247" s="524"/>
    </row>
    <row r="248" spans="1:9">
      <c r="A248" s="518"/>
      <c r="B248" s="518"/>
      <c r="E248" s="1071" t="s">
        <v>2196</v>
      </c>
      <c r="I248" s="524"/>
    </row>
    <row r="249" spans="1:9">
      <c r="A249" s="518"/>
      <c r="B249" s="518"/>
      <c r="D249" s="480"/>
      <c r="E249" s="480"/>
      <c r="F249" s="480"/>
      <c r="I249" s="524"/>
    </row>
    <row r="250" spans="1:9" ht="14.5" customHeight="1">
      <c r="A250" s="518"/>
      <c r="B250" s="519" t="s">
        <v>307</v>
      </c>
      <c r="D250" s="1295" t="s">
        <v>2368</v>
      </c>
      <c r="E250" s="1295"/>
      <c r="F250" s="1295"/>
      <c r="I250" s="524" t="s">
        <v>2145</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307</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307</v>
      </c>
      <c r="D259" s="1295" t="s">
        <v>1201</v>
      </c>
      <c r="E259" s="1295"/>
      <c r="F259" s="1295"/>
      <c r="I259" s="524"/>
    </row>
    <row r="260" spans="1:9">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2128</v>
      </c>
    </row>
    <row r="267" spans="1:9" ht="14.5" customHeight="1">
      <c r="A267" s="518"/>
      <c r="B267" s="519" t="s">
        <v>307</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5" customHeight="1">
      <c r="A271" s="518"/>
      <c r="B271" s="519" t="s">
        <v>307</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307</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1210</v>
      </c>
      <c r="E288" s="1346"/>
      <c r="F288" s="1346"/>
      <c r="I288" s="524"/>
    </row>
    <row r="289" spans="1:9">
      <c r="E289" s="480"/>
      <c r="F289" s="480"/>
      <c r="I289" s="524"/>
    </row>
    <row r="290" spans="1:9">
      <c r="A290" s="518"/>
      <c r="B290" s="519" t="s">
        <v>307</v>
      </c>
      <c r="D290" s="1295" t="s">
        <v>1211</v>
      </c>
      <c r="E290" s="1295"/>
      <c r="F290" s="1295"/>
      <c r="I290" s="524" t="s">
        <v>2090</v>
      </c>
    </row>
    <row r="291" spans="1:9">
      <c r="A291" s="518"/>
      <c r="B291" s="518"/>
      <c r="D291" s="1295"/>
      <c r="E291" s="1295"/>
      <c r="F291" s="1295"/>
      <c r="I291" s="524"/>
    </row>
    <row r="292" spans="1:9">
      <c r="D292" s="480"/>
      <c r="E292" s="480"/>
      <c r="F292" s="480"/>
      <c r="I292" s="524"/>
    </row>
    <row r="293" spans="1:9">
      <c r="A293" s="518"/>
      <c r="B293" s="519" t="s">
        <v>307</v>
      </c>
      <c r="D293" s="1295" t="s">
        <v>1212</v>
      </c>
      <c r="E293" s="1295"/>
      <c r="F293" s="1295"/>
      <c r="I293" s="524" t="s">
        <v>2090</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307</v>
      </c>
      <c r="D297" s="1295" t="s">
        <v>1213</v>
      </c>
      <c r="E297" s="1295"/>
      <c r="F297" s="1295"/>
      <c r="I297" s="524" t="s">
        <v>2090</v>
      </c>
    </row>
    <row r="298" spans="1:9">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307</v>
      </c>
      <c r="D305" s="1296" t="s">
        <v>1215</v>
      </c>
      <c r="E305" s="1296"/>
      <c r="F305" s="1296"/>
      <c r="I305" s="524" t="s">
        <v>2091</v>
      </c>
    </row>
    <row r="306" spans="1:9">
      <c r="A306" s="518"/>
      <c r="B306" s="518"/>
      <c r="D306" s="528"/>
      <c r="E306" s="529"/>
      <c r="F306" s="529"/>
      <c r="I306" s="524"/>
    </row>
    <row r="307" spans="1:9" ht="13.75" customHeight="1">
      <c r="B307" s="519" t="s">
        <v>307</v>
      </c>
      <c r="D307" s="1349" t="s">
        <v>1325</v>
      </c>
      <c r="E307" s="1349"/>
      <c r="F307" s="1349"/>
      <c r="I307" s="524" t="s">
        <v>2091</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75" customHeight="1">
      <c r="B313" s="519" t="s">
        <v>307</v>
      </c>
      <c r="D313" s="1349" t="s">
        <v>1217</v>
      </c>
      <c r="E313" s="1349"/>
      <c r="F313" s="1349"/>
      <c r="I313" s="524" t="s">
        <v>2091</v>
      </c>
    </row>
    <row r="314" spans="1:9">
      <c r="D314" s="1349"/>
      <c r="E314" s="1349"/>
      <c r="F314" s="1349"/>
      <c r="I314" s="524"/>
    </row>
    <row r="315" spans="1:9">
      <c r="A315" s="518"/>
      <c r="B315" s="518"/>
      <c r="D315" s="528"/>
      <c r="E315" s="529"/>
      <c r="F315" s="529"/>
      <c r="I315" s="524"/>
    </row>
    <row r="316" spans="1:9">
      <c r="B316" s="519" t="s">
        <v>307</v>
      </c>
      <c r="D316" s="1296" t="s">
        <v>1218</v>
      </c>
      <c r="E316" s="1296"/>
      <c r="F316" s="1296"/>
      <c r="I316" s="524" t="s">
        <v>2077</v>
      </c>
    </row>
    <row r="317" spans="1:9">
      <c r="E317" s="480"/>
      <c r="F317" s="480"/>
      <c r="I317" s="524"/>
    </row>
    <row r="318" spans="1:9">
      <c r="A318" s="518"/>
      <c r="B318" s="519" t="s">
        <v>307</v>
      </c>
      <c r="D318" s="1295" t="s">
        <v>2389</v>
      </c>
      <c r="E318" s="1295"/>
      <c r="F318" s="1295"/>
      <c r="I318" s="524" t="s">
        <v>2092</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307</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307</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45" t="s">
        <v>998</v>
      </c>
      <c r="E351" s="1345"/>
      <c r="F351" s="1345"/>
      <c r="G351" s="1062"/>
      <c r="H351" s="1062"/>
      <c r="I351" s="1262"/>
    </row>
    <row r="352" spans="1:9" ht="14"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c r="A355" s="518"/>
      <c r="B355" s="519" t="s">
        <v>307</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c r="A360" s="518"/>
      <c r="B360" s="519" t="s">
        <v>307</v>
      </c>
      <c r="C360" s="510"/>
      <c r="D360" s="1281" t="s">
        <v>2371</v>
      </c>
      <c r="E360" s="1281"/>
      <c r="F360" s="1281"/>
      <c r="I360" s="514"/>
    </row>
    <row r="361" spans="1:9">
      <c r="A361" s="510"/>
      <c r="B361" s="510"/>
      <c r="C361" s="510"/>
      <c r="D361" s="481"/>
      <c r="E361" s="481"/>
      <c r="F361" s="480"/>
      <c r="I361" s="524"/>
    </row>
    <row r="362" spans="1:9">
      <c r="A362" s="510"/>
      <c r="B362" s="519" t="s">
        <v>307</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5" customHeight="1">
      <c r="A375" s="510"/>
      <c r="B375" s="519" t="s">
        <v>307</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307</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5"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307</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307</v>
      </c>
      <c r="D423" s="1277" t="s">
        <v>2130</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75" customHeight="1">
      <c r="A429" s="518"/>
      <c r="B429" s="519" t="s">
        <v>307</v>
      </c>
      <c r="C429" s="510"/>
      <c r="D429" s="1277" t="s">
        <v>1347</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c r="A435" s="518"/>
      <c r="B435" s="519" t="s">
        <v>307</v>
      </c>
      <c r="C435" s="521"/>
      <c r="D435" s="1295" t="s">
        <v>2373</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5" customHeight="1">
      <c r="D465" s="1295"/>
      <c r="E465" s="1295"/>
      <c r="F465" s="1295"/>
      <c r="I465" s="524"/>
    </row>
    <row r="466" spans="1:9">
      <c r="D466" s="480"/>
      <c r="E466" s="480"/>
      <c r="F466" s="480"/>
      <c r="I466" s="524"/>
    </row>
    <row r="467" spans="1:9">
      <c r="A467" s="518"/>
      <c r="B467" s="519" t="s">
        <v>307</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307</v>
      </c>
      <c r="C471" s="518"/>
      <c r="D471" s="1295" t="s">
        <v>1303</v>
      </c>
      <c r="E471" s="1295"/>
      <c r="F471" s="1295"/>
      <c r="I471" s="524"/>
    </row>
    <row r="472" spans="1:9">
      <c r="D472" s="1295"/>
      <c r="E472" s="1295"/>
      <c r="F472" s="1295"/>
      <c r="I472" s="524"/>
    </row>
    <row r="473" spans="1:9">
      <c r="D473" s="480"/>
      <c r="E473" s="480"/>
      <c r="F473" s="480"/>
      <c r="I473" s="524"/>
    </row>
    <row r="474" spans="1:9">
      <c r="B474" s="519" t="s">
        <v>307</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307</v>
      </c>
      <c r="C486" s="433"/>
      <c r="D486" s="1295"/>
      <c r="E486" s="1295"/>
      <c r="F486" s="1295"/>
      <c r="I486" s="524"/>
    </row>
    <row r="487" spans="1:9">
      <c r="A487" s="433"/>
      <c r="C487" s="433"/>
      <c r="D487" s="1295"/>
      <c r="E487" s="1295"/>
      <c r="F487" s="1295"/>
      <c r="I487" s="524"/>
    </row>
    <row r="488" spans="1:9">
      <c r="A488" s="433"/>
      <c r="B488" s="519" t="s">
        <v>307</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307</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c r="A499" s="518"/>
      <c r="B499" s="518"/>
      <c r="D499" s="1281" t="s">
        <v>1238</v>
      </c>
      <c r="E499" s="1281"/>
      <c r="F499" s="1281"/>
      <c r="I499" s="524"/>
    </row>
    <row r="500" spans="1:9">
      <c r="A500" s="518"/>
      <c r="B500" s="518"/>
      <c r="D500" s="481"/>
      <c r="I500" s="524"/>
    </row>
    <row r="501" spans="1:9">
      <c r="A501" s="518"/>
      <c r="B501" s="519" t="s">
        <v>307</v>
      </c>
      <c r="D501" s="1277" t="s">
        <v>1239</v>
      </c>
      <c r="E501" s="1277"/>
      <c r="F501" s="1277"/>
      <c r="I501" s="524" t="s">
        <v>2094</v>
      </c>
    </row>
    <row r="502" spans="1:9">
      <c r="A502" s="518"/>
      <c r="B502" s="518"/>
      <c r="D502" s="1277"/>
      <c r="E502" s="1277"/>
      <c r="F502" s="1277"/>
      <c r="I502" s="524"/>
    </row>
    <row r="503" spans="1:9">
      <c r="A503" s="518"/>
      <c r="B503" s="518"/>
      <c r="D503" s="480"/>
      <c r="I503" s="524"/>
    </row>
    <row r="504" spans="1:9" ht="12.75" customHeight="1">
      <c r="B504" s="519" t="s">
        <v>307</v>
      </c>
      <c r="D504" s="1282" t="s">
        <v>1383</v>
      </c>
      <c r="E504" s="1282"/>
      <c r="F504" s="1282"/>
      <c r="I504" s="524" t="s">
        <v>2095</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307</v>
      </c>
      <c r="D509" s="1296" t="s">
        <v>1242</v>
      </c>
      <c r="E509" s="1296"/>
      <c r="F509" s="1296"/>
      <c r="I509" s="524" t="s">
        <v>2096</v>
      </c>
    </row>
    <row r="510" spans="1:9">
      <c r="A510" s="518"/>
      <c r="B510" s="518"/>
      <c r="D510" s="480"/>
      <c r="I510" s="524"/>
    </row>
    <row r="511" spans="1:9">
      <c r="A511" s="518"/>
      <c r="B511" s="519" t="s">
        <v>307</v>
      </c>
      <c r="D511" s="1295" t="s">
        <v>1243</v>
      </c>
      <c r="E511" s="1295"/>
      <c r="F511" s="1295"/>
      <c r="I511" s="524" t="s">
        <v>2096</v>
      </c>
    </row>
    <row r="512" spans="1:9">
      <c r="A512" s="518"/>
      <c r="D512" s="1295"/>
      <c r="E512" s="1295"/>
      <c r="F512" s="1295"/>
      <c r="I512" s="524"/>
    </row>
    <row r="513" spans="1:9">
      <c r="A513" s="524"/>
      <c r="B513" s="524"/>
      <c r="D513" s="481"/>
      <c r="I513" s="524"/>
    </row>
    <row r="514" spans="1:9">
      <c r="A514" s="524"/>
      <c r="B514" s="519" t="s">
        <v>307</v>
      </c>
      <c r="D514" s="1296" t="s">
        <v>1244</v>
      </c>
      <c r="E514" s="1296"/>
      <c r="F514" s="1296"/>
      <c r="I514" s="524" t="s">
        <v>2149</v>
      </c>
    </row>
    <row r="515" spans="1:9">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307</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307</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307</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5" customHeight="1">
      <c r="A543" s="518"/>
      <c r="B543" s="519" t="s">
        <v>307</v>
      </c>
      <c r="C543" s="521"/>
      <c r="D543" s="1296" t="s">
        <v>896</v>
      </c>
      <c r="E543" s="1296"/>
      <c r="F543" s="1296"/>
      <c r="I543" s="524" t="s">
        <v>2147</v>
      </c>
    </row>
    <row r="544" spans="1:9" ht="13.75" customHeight="1">
      <c r="A544" s="521"/>
      <c r="B544" s="521"/>
      <c r="C544" s="521"/>
      <c r="D544" s="480"/>
      <c r="I544" s="524"/>
    </row>
    <row r="545" spans="1:9">
      <c r="A545" s="518"/>
      <c r="B545" s="519" t="s">
        <v>307</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307</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307</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307</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307</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307</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307</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c r="A567" s="518"/>
      <c r="B567" s="518"/>
      <c r="C567" s="521"/>
      <c r="E567" s="480"/>
      <c r="F567" s="480"/>
      <c r="I567" s="524"/>
    </row>
    <row r="568" spans="1:9">
      <c r="A568" s="518"/>
      <c r="B568" s="519" t="s">
        <v>307</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307</v>
      </c>
      <c r="C573" s="521"/>
      <c r="D573" s="1295" t="s">
        <v>2377</v>
      </c>
      <c r="E573" s="1295"/>
      <c r="F573" s="1295"/>
      <c r="I573" s="524" t="s">
        <v>2101</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307</v>
      </c>
      <c r="D583" s="1282" t="s">
        <v>902</v>
      </c>
      <c r="E583" s="1282"/>
      <c r="F583" s="1282"/>
      <c r="I583" s="524"/>
    </row>
    <row r="584" spans="1:9">
      <c r="A584" s="524"/>
      <c r="B584" s="524"/>
      <c r="D584" s="510"/>
      <c r="I584" s="524"/>
    </row>
    <row r="585" spans="1:9">
      <c r="A585" s="524"/>
      <c r="B585" s="519" t="s">
        <v>307</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307</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307</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307</v>
      </c>
      <c r="D597" s="1282" t="s">
        <v>1102</v>
      </c>
      <c r="E597" s="1282"/>
      <c r="F597" s="1282"/>
      <c r="I597" s="524" t="s">
        <v>2151</v>
      </c>
    </row>
    <row r="598" spans="1:9">
      <c r="A598" s="524"/>
      <c r="B598" s="524"/>
      <c r="D598" s="1282"/>
      <c r="E598" s="1282"/>
      <c r="F598" s="1282"/>
      <c r="I598" s="524"/>
    </row>
    <row r="599" spans="1:9">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307</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307</v>
      </c>
      <c r="D615" s="1293" t="s">
        <v>1188</v>
      </c>
      <c r="E615" s="1293"/>
      <c r="F615" s="1293"/>
      <c r="I615" s="524" t="s">
        <v>2152</v>
      </c>
    </row>
    <row r="616" spans="1:9">
      <c r="D616" s="1293"/>
      <c r="E616" s="1293"/>
      <c r="F616" s="1293"/>
      <c r="I616" s="524"/>
    </row>
    <row r="617" spans="1:9">
      <c r="I617" s="524"/>
    </row>
    <row r="618" spans="1:9">
      <c r="B618" s="519" t="s">
        <v>307</v>
      </c>
      <c r="D618" s="1293" t="s">
        <v>1189</v>
      </c>
      <c r="E618" s="1293"/>
      <c r="F618" s="1293"/>
      <c r="I618" s="524" t="s">
        <v>2105</v>
      </c>
    </row>
    <row r="619" spans="1:9">
      <c r="C619" s="534"/>
      <c r="D619" s="1293"/>
      <c r="E619" s="1293"/>
      <c r="F619" s="1293"/>
      <c r="I619" s="524"/>
    </row>
    <row r="620" spans="1:9">
      <c r="C620" s="534"/>
      <c r="I620" s="524"/>
    </row>
    <row r="621" spans="1:9">
      <c r="B621" s="519" t="s">
        <v>307</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307</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307</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307</v>
      </c>
      <c r="C638" s="521"/>
      <c r="D638" s="1295" t="s">
        <v>1332</v>
      </c>
      <c r="E638" s="1295"/>
      <c r="F638" s="1295"/>
      <c r="I638" s="524" t="s">
        <v>2106</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307</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307</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5" customHeight="1">
      <c r="A653" s="517"/>
      <c r="B653" s="519" t="s">
        <v>307</v>
      </c>
      <c r="C653" s="521"/>
      <c r="D653" s="1295" t="s">
        <v>1393</v>
      </c>
      <c r="E653" s="1295"/>
      <c r="F653" s="1295"/>
      <c r="I653" s="524" t="s">
        <v>2158</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307</v>
      </c>
      <c r="C659" s="521"/>
      <c r="D659" s="1295" t="s">
        <v>1392</v>
      </c>
      <c r="E659" s="1295"/>
      <c r="F659" s="1295"/>
      <c r="I659" s="524" t="s">
        <v>2158</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307</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c r="A680" s="518"/>
      <c r="B680" s="519" t="s">
        <v>307</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307</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c r="A689" s="518"/>
      <c r="B689" s="519" t="s">
        <v>307</v>
      </c>
      <c r="C689" s="517"/>
      <c r="D689" s="1296" t="s">
        <v>936</v>
      </c>
      <c r="E689" s="1296"/>
      <c r="F689" s="1296"/>
      <c r="H689" s="535"/>
      <c r="I689" s="517"/>
      <c r="J689" s="535"/>
      <c r="K689" s="535"/>
    </row>
    <row r="690" spans="1:11">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307</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307</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307</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307</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307</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5"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307</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c r="A758" s="518"/>
      <c r="B758" s="519" t="s">
        <v>307</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c r="A762" s="518"/>
      <c r="B762" s="519" t="s">
        <v>307</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307</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307</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307</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307</v>
      </c>
      <c r="C782" s="1024"/>
      <c r="D782" s="1308" t="s">
        <v>1948</v>
      </c>
      <c r="E782" s="1308"/>
      <c r="F782" s="1308"/>
      <c r="G782" s="1023"/>
      <c r="I782" s="517" t="s">
        <v>2159</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307</v>
      </c>
      <c r="C786" s="1024"/>
      <c r="D786" s="1308" t="s">
        <v>1949</v>
      </c>
      <c r="E786" s="1308"/>
      <c r="F786" s="1308"/>
      <c r="G786" s="1023"/>
      <c r="I786" s="517" t="s">
        <v>2159</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1993</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307</v>
      </c>
      <c r="C796" s="1024"/>
      <c r="D796" s="1308" t="s">
        <v>1950</v>
      </c>
      <c r="E796" s="1308"/>
      <c r="F796" s="1308"/>
      <c r="G796" s="1023"/>
      <c r="I796" s="517" t="s">
        <v>2159</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307</v>
      </c>
      <c r="C803" s="1024"/>
      <c r="D803" s="1308" t="s">
        <v>1951</v>
      </c>
      <c r="E803" s="1308"/>
      <c r="F803" s="1308"/>
      <c r="G803" s="1023"/>
      <c r="I803" s="517" t="s">
        <v>2159</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307</v>
      </c>
      <c r="C810" s="1024"/>
      <c r="D810" s="1305" t="s">
        <v>1952</v>
      </c>
      <c r="E810" s="1305"/>
      <c r="F810" s="1305"/>
      <c r="G810" s="1023"/>
      <c r="I810" s="517" t="s">
        <v>2159</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307</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307</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307</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307</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307</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307</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307</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307</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307</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307</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307</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307</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307</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307</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307</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307</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307</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307</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307</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307</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307</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307</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307</v>
      </c>
      <c r="C1050" s="433"/>
      <c r="D1050" s="433" t="s">
        <v>2003</v>
      </c>
      <c r="I1050" s="524" t="s">
        <v>2115</v>
      </c>
    </row>
    <row r="1051" spans="1:9">
      <c r="A1051" s="433"/>
      <c r="B1051" s="433"/>
      <c r="C1051" s="433"/>
      <c r="I1051" s="524"/>
    </row>
    <row r="1052" spans="1:9">
      <c r="A1052" s="433"/>
      <c r="B1052" s="519" t="s">
        <v>307</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307</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307</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307</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307</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307</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307</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307</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Normal="100" workbookViewId="0">
      <selection activeCell="AF628" sqref="AF628:AJ628"/>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59" t="s">
        <v>100</v>
      </c>
      <c r="B8" s="1459"/>
      <c r="C8" s="1459"/>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c r="AT8" s="1459"/>
      <c r="AU8" s="933"/>
      <c r="AV8" s="933"/>
      <c r="AW8" s="933"/>
      <c r="AX8" s="933"/>
      <c r="AY8" s="933"/>
    </row>
    <row r="9" spans="1:51" ht="13"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460" t="s">
        <v>2637</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c r="AT12" s="1460"/>
      <c r="AU12" s="6"/>
      <c r="AV12" s="6"/>
      <c r="AW12" s="6"/>
      <c r="AX12" s="6"/>
      <c r="AY12" s="6"/>
    </row>
    <row r="13" spans="1:51" ht="13"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789" t="s">
        <v>2642</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3" customHeight="1"/>
    <row r="18" spans="1:52" ht="13" customHeight="1">
      <c r="A18" s="57" t="s">
        <v>101</v>
      </c>
      <c r="C18" s="4"/>
      <c r="D18" s="4"/>
      <c r="E18" s="4"/>
      <c r="F18" s="4"/>
      <c r="G18" s="4"/>
      <c r="H18" s="1465" t="s">
        <v>2638</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3" customHeight="1"/>
    <row r="20" spans="1:52" ht="13" customHeight="1">
      <c r="A20" s="1461" t="s">
        <v>884</v>
      </c>
      <c r="B20" s="1461"/>
      <c r="C20" s="1461"/>
      <c r="D20" s="1461"/>
      <c r="E20" s="1461"/>
      <c r="F20" s="1461"/>
      <c r="G20" s="1461"/>
      <c r="H20" s="1461"/>
      <c r="I20" s="1461"/>
      <c r="J20" s="1461"/>
      <c r="K20" s="1461"/>
      <c r="L20" s="1461"/>
      <c r="M20" s="1461"/>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61"/>
      <c r="AQ20" s="1461"/>
      <c r="AR20" s="1461"/>
      <c r="AS20" s="1461"/>
      <c r="AT20" s="1461"/>
      <c r="AU20" s="935"/>
      <c r="AV20" s="935"/>
      <c r="AW20" s="935"/>
      <c r="AX20" s="935"/>
      <c r="AY20" s="935"/>
    </row>
    <row r="21" spans="1:52" ht="13" customHeight="1">
      <c r="A21" s="1793" t="s">
        <v>1033</v>
      </c>
      <c r="B21" s="1793"/>
      <c r="C21" s="1793"/>
      <c r="D21" s="1793"/>
      <c r="E21" s="1793"/>
      <c r="F21" s="1793"/>
      <c r="G21" s="1793"/>
      <c r="H21" s="1793"/>
      <c r="I21" s="1793"/>
      <c r="J21" s="1793"/>
      <c r="K21" s="1793"/>
      <c r="L21" s="1793"/>
      <c r="M21" s="1793"/>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3"/>
      <c r="AK21" s="1793"/>
      <c r="AL21" s="179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92">
        <f>'Basis &amp; Credits'!AB56</f>
        <v>2631756</v>
      </c>
      <c r="N26" s="1792"/>
      <c r="O26" s="1792"/>
      <c r="P26" s="1792"/>
      <c r="Q26" s="1792"/>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514">
        <f>'Basis &amp; Credits'!AB77</f>
        <v>15183205</v>
      </c>
      <c r="N27" s="1514"/>
      <c r="O27" s="1514"/>
      <c r="P27" s="1514"/>
      <c r="Q27" s="1514"/>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62" t="s">
        <v>2510</v>
      </c>
      <c r="B29" s="1462"/>
      <c r="C29" s="1462"/>
      <c r="D29" s="1462"/>
      <c r="E29" s="1462"/>
      <c r="F29" s="1462"/>
      <c r="G29" s="1462"/>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462"/>
      <c r="AM29" s="1462"/>
      <c r="AN29" s="1462"/>
      <c r="AO29" s="1462"/>
      <c r="AP29" s="1462"/>
      <c r="AQ29" s="1462"/>
      <c r="AR29" s="1462"/>
      <c r="AS29" s="1462"/>
      <c r="AT29" s="1462"/>
    </row>
    <row r="30" spans="1:52" ht="13" customHeight="1">
      <c r="A30" s="1462"/>
      <c r="B30" s="1462"/>
      <c r="C30" s="1462"/>
      <c r="D30" s="1462"/>
      <c r="E30" s="1462"/>
      <c r="F30" s="1462"/>
      <c r="G30" s="1462"/>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462"/>
      <c r="AM30" s="1462"/>
      <c r="AN30" s="1462"/>
      <c r="AO30" s="1462"/>
      <c r="AP30" s="1462"/>
      <c r="AQ30" s="1462"/>
      <c r="AR30" s="1462"/>
      <c r="AS30" s="1462"/>
      <c r="AT30" s="1462"/>
      <c r="AZ30" s="20"/>
    </row>
    <row r="31" spans="1:52" ht="13" customHeight="1">
      <c r="A31" s="1462"/>
      <c r="B31" s="1462"/>
      <c r="C31" s="1462"/>
      <c r="D31" s="1462"/>
      <c r="E31" s="1462"/>
      <c r="F31" s="1462"/>
      <c r="G31" s="1462"/>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462"/>
      <c r="AM31" s="1462"/>
      <c r="AN31" s="1462"/>
      <c r="AO31" s="1462"/>
      <c r="AP31" s="1462"/>
      <c r="AQ31" s="1462"/>
      <c r="AR31" s="1462"/>
      <c r="AS31" s="1462"/>
      <c r="AT31" s="1462"/>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67" t="s">
        <v>553</v>
      </c>
      <c r="P33" s="1467"/>
      <c r="Q33" s="1463" t="s">
        <v>2511</v>
      </c>
      <c r="R33" s="1463"/>
      <c r="S33" s="1463"/>
      <c r="T33" s="1463"/>
      <c r="U33" s="1463"/>
      <c r="V33" s="1463"/>
      <c r="W33" s="1463"/>
      <c r="X33" s="1463"/>
      <c r="Y33" s="1463"/>
      <c r="Z33" s="1463"/>
      <c r="AA33" s="1463"/>
      <c r="AB33" s="1463"/>
      <c r="AC33" s="1463"/>
      <c r="AD33" s="1463"/>
      <c r="AE33" s="1463"/>
      <c r="AF33" s="1463"/>
      <c r="AG33" s="1463"/>
      <c r="AH33" s="1463"/>
      <c r="AI33" s="1463"/>
      <c r="AJ33" s="1463"/>
      <c r="AK33" s="1463"/>
      <c r="AL33" s="1463"/>
      <c r="AM33" s="1463"/>
      <c r="AN33" s="1463"/>
      <c r="AO33" s="1463"/>
      <c r="AP33" s="1463"/>
      <c r="AQ33" s="1463"/>
      <c r="AR33" s="1463"/>
      <c r="AS33" s="1463"/>
      <c r="AT33" s="1463"/>
      <c r="AU33" s="20"/>
      <c r="AV33" s="20"/>
      <c r="AW33" s="20"/>
      <c r="AX33" s="20"/>
      <c r="AY33" s="20"/>
    </row>
    <row r="34" spans="1:52" ht="13" customHeight="1">
      <c r="A34" s="1462" t="s">
        <v>2512</v>
      </c>
      <c r="B34" s="1462"/>
      <c r="C34" s="1462"/>
      <c r="D34" s="1462"/>
      <c r="E34" s="1462"/>
      <c r="F34" s="1462"/>
      <c r="G34" s="1462"/>
      <c r="H34" s="1462"/>
      <c r="I34" s="1462"/>
      <c r="J34" s="1462"/>
      <c r="K34" s="1462"/>
      <c r="L34" s="1462"/>
      <c r="M34" s="1462"/>
      <c r="N34" s="1462"/>
      <c r="O34" s="1462"/>
      <c r="P34" s="1462"/>
      <c r="Q34" s="1462"/>
      <c r="R34" s="1462"/>
      <c r="S34" s="1462"/>
      <c r="T34" s="1462"/>
      <c r="U34" s="1462"/>
      <c r="V34" s="1462"/>
      <c r="W34" s="1462"/>
      <c r="X34" s="1462"/>
      <c r="Y34" s="1462"/>
      <c r="Z34" s="1462"/>
      <c r="AA34" s="1462"/>
      <c r="AB34" s="1462"/>
      <c r="AC34" s="1462"/>
      <c r="AD34" s="1462"/>
      <c r="AE34" s="1462"/>
      <c r="AF34" s="1462"/>
      <c r="AG34" s="1462"/>
      <c r="AH34" s="1462"/>
      <c r="AI34" s="1462"/>
      <c r="AJ34" s="1462"/>
      <c r="AK34" s="1462"/>
      <c r="AL34" s="1462"/>
      <c r="AM34" s="1462"/>
      <c r="AN34" s="1462"/>
      <c r="AO34" s="1462"/>
      <c r="AP34" s="1462"/>
      <c r="AQ34" s="1462"/>
      <c r="AR34" s="1462"/>
      <c r="AS34" s="1462"/>
      <c r="AT34" s="1462"/>
      <c r="AU34" s="20"/>
      <c r="AV34" s="20"/>
      <c r="AW34" s="20"/>
      <c r="AX34" s="20"/>
      <c r="AY34" s="20"/>
      <c r="AZ34" s="20"/>
    </row>
    <row r="35" spans="1:52" ht="13" customHeight="1">
      <c r="A35" s="1462"/>
      <c r="B35" s="1462"/>
      <c r="C35" s="1462"/>
      <c r="D35" s="1462"/>
      <c r="E35" s="1462"/>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c r="AL35" s="1462"/>
      <c r="AM35" s="1462"/>
      <c r="AN35" s="1462"/>
      <c r="AO35" s="1462"/>
      <c r="AP35" s="1462"/>
      <c r="AQ35" s="1462"/>
      <c r="AR35" s="1462"/>
      <c r="AS35" s="1462"/>
      <c r="AT35" s="1462"/>
      <c r="AU35" s="20"/>
      <c r="AV35" s="20"/>
      <c r="AW35" s="20"/>
      <c r="AX35" s="20"/>
      <c r="AY35" s="20"/>
      <c r="AZ35" s="20"/>
    </row>
    <row r="36" spans="1:52" ht="13" customHeight="1">
      <c r="A36" s="1462"/>
      <c r="B36" s="1462"/>
      <c r="C36" s="1462"/>
      <c r="D36" s="1462"/>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c r="AL36" s="1462"/>
      <c r="AM36" s="1462"/>
      <c r="AN36" s="1462"/>
      <c r="AO36" s="1462"/>
      <c r="AP36" s="1462"/>
      <c r="AQ36" s="1462"/>
      <c r="AR36" s="1462"/>
      <c r="AS36" s="1462"/>
      <c r="AT36" s="1462"/>
      <c r="AU36" s="20"/>
      <c r="AV36" s="20"/>
      <c r="AW36" s="20"/>
      <c r="AX36" s="20"/>
      <c r="AY36" s="20"/>
      <c r="AZ36" s="20"/>
    </row>
    <row r="37" spans="1:52" ht="13" customHeight="1">
      <c r="A37" s="1462"/>
      <c r="B37" s="1462"/>
      <c r="C37" s="1462"/>
      <c r="D37" s="1462"/>
      <c r="E37" s="1462"/>
      <c r="F37" s="1462"/>
      <c r="G37" s="1462"/>
      <c r="H37" s="1462"/>
      <c r="I37" s="1462"/>
      <c r="J37" s="1462"/>
      <c r="K37" s="1462"/>
      <c r="L37" s="1462"/>
      <c r="M37" s="1462"/>
      <c r="N37" s="1462"/>
      <c r="O37" s="1462"/>
      <c r="P37" s="1462"/>
      <c r="Q37" s="1462"/>
      <c r="R37" s="1462"/>
      <c r="S37" s="1462"/>
      <c r="T37" s="1462"/>
      <c r="U37" s="1462"/>
      <c r="V37" s="1462"/>
      <c r="W37" s="1462"/>
      <c r="X37" s="1462"/>
      <c r="Y37" s="1462"/>
      <c r="Z37" s="1462"/>
      <c r="AA37" s="1462"/>
      <c r="AB37" s="1462"/>
      <c r="AC37" s="1462"/>
      <c r="AD37" s="1462"/>
      <c r="AE37" s="1462"/>
      <c r="AF37" s="1462"/>
      <c r="AG37" s="1462"/>
      <c r="AH37" s="1462"/>
      <c r="AI37" s="1462"/>
      <c r="AJ37" s="1462"/>
      <c r="AK37" s="1462"/>
      <c r="AL37" s="1462"/>
      <c r="AM37" s="1462"/>
      <c r="AN37" s="1462"/>
      <c r="AO37" s="1462"/>
      <c r="AP37" s="1462"/>
      <c r="AQ37" s="1462"/>
      <c r="AR37" s="1462"/>
      <c r="AS37" s="1462"/>
      <c r="AT37" s="1462"/>
      <c r="AZ37" s="20"/>
    </row>
    <row r="38" spans="1:52" ht="13" customHeight="1">
      <c r="A38" s="3"/>
      <c r="AZ38" s="20"/>
    </row>
    <row r="39" spans="1:52" ht="13"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64" t="s">
        <v>2519</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21"/>
      <c r="AV65" s="21"/>
      <c r="AW65" s="21"/>
      <c r="AX65" s="21"/>
      <c r="AY65" s="21"/>
      <c r="AZ65" s="20"/>
    </row>
    <row r="66" spans="1:52" ht="13" customHeight="1">
      <c r="A66" s="1464"/>
      <c r="B66" s="1464"/>
      <c r="C66" s="1464"/>
      <c r="D66" s="1464"/>
      <c r="E66" s="1464"/>
      <c r="F66" s="1464"/>
      <c r="G66" s="1464"/>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464"/>
      <c r="AM66" s="1464"/>
      <c r="AN66" s="1464"/>
      <c r="AO66" s="1464"/>
      <c r="AP66" s="1464"/>
      <c r="AQ66" s="1464"/>
      <c r="AR66" s="1464"/>
      <c r="AS66" s="1464"/>
      <c r="AT66" s="1464"/>
      <c r="AU66" s="21"/>
      <c r="AV66" s="21"/>
      <c r="AW66" s="21"/>
      <c r="AX66" s="21"/>
      <c r="AY66" s="21"/>
      <c r="AZ66" s="20"/>
    </row>
    <row r="67" spans="1:52" ht="13" customHeight="1">
      <c r="A67" s="1464"/>
      <c r="B67" s="1464"/>
      <c r="C67" s="1464"/>
      <c r="D67" s="1464"/>
      <c r="E67" s="1464"/>
      <c r="F67" s="1464"/>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464"/>
      <c r="AM67" s="1464"/>
      <c r="AN67" s="1464"/>
      <c r="AO67" s="1464"/>
      <c r="AP67" s="1464"/>
      <c r="AQ67" s="1464"/>
      <c r="AR67" s="1464"/>
      <c r="AS67" s="1464"/>
      <c r="AT67" s="1464"/>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64" t="s">
        <v>2520</v>
      </c>
      <c r="B69" s="1464"/>
      <c r="C69" s="1464"/>
      <c r="D69" s="1464"/>
      <c r="E69" s="1464"/>
      <c r="F69" s="1464"/>
      <c r="G69" s="1464"/>
      <c r="H69" s="1464"/>
      <c r="I69" s="1464"/>
      <c r="J69" s="1464"/>
      <c r="K69" s="1464"/>
      <c r="L69" s="1464"/>
      <c r="M69" s="1464"/>
      <c r="N69" s="1464"/>
      <c r="O69" s="1464"/>
      <c r="P69" s="1464"/>
      <c r="Q69" s="1464"/>
      <c r="R69" s="1464"/>
      <c r="S69" s="1464"/>
      <c r="T69" s="1464"/>
      <c r="U69" s="1464"/>
      <c r="V69" s="1464"/>
      <c r="W69" s="1464"/>
      <c r="X69" s="1464"/>
      <c r="Y69" s="1464"/>
      <c r="Z69" s="1464"/>
      <c r="AA69" s="1464"/>
      <c r="AB69" s="1464"/>
      <c r="AC69" s="1464"/>
      <c r="AD69" s="1464"/>
      <c r="AE69" s="1464"/>
      <c r="AF69" s="1464"/>
      <c r="AG69" s="1464"/>
      <c r="AH69" s="1464"/>
      <c r="AI69" s="1464"/>
      <c r="AJ69" s="1464"/>
      <c r="AK69" s="1464"/>
      <c r="AL69" s="1464"/>
      <c r="AM69" s="1464"/>
      <c r="AN69" s="1464"/>
      <c r="AO69" s="1464"/>
      <c r="AP69" s="1464"/>
      <c r="AQ69" s="1464"/>
      <c r="AR69" s="1464"/>
      <c r="AS69" s="1464"/>
      <c r="AT69" s="1464"/>
      <c r="AZ69" s="20"/>
    </row>
    <row r="70" spans="1:52" ht="13" customHeight="1">
      <c r="A70" s="1464"/>
      <c r="B70" s="1464"/>
      <c r="C70" s="1464"/>
      <c r="D70" s="1464"/>
      <c r="E70" s="1464"/>
      <c r="F70" s="1464"/>
      <c r="G70" s="1464"/>
      <c r="H70" s="1464"/>
      <c r="I70" s="1464"/>
      <c r="J70" s="1464"/>
      <c r="K70" s="1464"/>
      <c r="L70" s="1464"/>
      <c r="M70" s="1464"/>
      <c r="N70" s="1464"/>
      <c r="O70" s="1464"/>
      <c r="P70" s="1464"/>
      <c r="Q70" s="1464"/>
      <c r="R70" s="1464"/>
      <c r="S70" s="1464"/>
      <c r="T70" s="1464"/>
      <c r="U70" s="1464"/>
      <c r="V70" s="1464"/>
      <c r="W70" s="1464"/>
      <c r="X70" s="1464"/>
      <c r="Y70" s="1464"/>
      <c r="Z70" s="1464"/>
      <c r="AA70" s="1464"/>
      <c r="AB70" s="1464"/>
      <c r="AC70" s="1464"/>
      <c r="AD70" s="1464"/>
      <c r="AE70" s="1464"/>
      <c r="AF70" s="1464"/>
      <c r="AG70" s="1464"/>
      <c r="AH70" s="1464"/>
      <c r="AI70" s="1464"/>
      <c r="AJ70" s="1464"/>
      <c r="AK70" s="1464"/>
      <c r="AL70" s="1464"/>
      <c r="AM70" s="1464"/>
      <c r="AN70" s="1464"/>
      <c r="AO70" s="1464"/>
      <c r="AP70" s="1464"/>
      <c r="AQ70" s="1464"/>
      <c r="AR70" s="1464"/>
      <c r="AS70" s="1464"/>
      <c r="AT70" s="1464"/>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62" t="s">
        <v>2521</v>
      </c>
      <c r="B72" s="1462"/>
      <c r="C72" s="1462"/>
      <c r="D72" s="1462"/>
      <c r="E72" s="1462"/>
      <c r="F72" s="1462"/>
      <c r="G72" s="1462"/>
      <c r="H72" s="1462"/>
      <c r="I72" s="1462"/>
      <c r="J72" s="1462"/>
      <c r="K72" s="1462"/>
      <c r="L72" s="1462"/>
      <c r="M72" s="1462"/>
      <c r="N72" s="1462"/>
      <c r="O72" s="1462"/>
      <c r="P72" s="1462"/>
      <c r="Q72" s="1462"/>
      <c r="R72" s="1462"/>
      <c r="S72" s="1462"/>
      <c r="T72" s="1462"/>
      <c r="U72" s="1462"/>
      <c r="V72" s="1462"/>
      <c r="W72" s="1462"/>
      <c r="X72" s="1462"/>
      <c r="Y72" s="1462"/>
      <c r="Z72" s="1462"/>
      <c r="AA72" s="1462"/>
      <c r="AB72" s="1462"/>
      <c r="AC72" s="1462"/>
      <c r="AD72" s="1462"/>
      <c r="AE72" s="1462"/>
      <c r="AF72" s="1462"/>
      <c r="AG72" s="1462"/>
      <c r="AH72" s="1462"/>
      <c r="AI72" s="1462"/>
      <c r="AJ72" s="1462"/>
      <c r="AK72" s="1462"/>
      <c r="AL72" s="1462"/>
      <c r="AM72" s="1462"/>
      <c r="AN72" s="1462"/>
      <c r="AO72" s="1462"/>
      <c r="AP72" s="1462"/>
      <c r="AQ72" s="1462"/>
      <c r="AR72" s="1462"/>
      <c r="AS72" s="1462"/>
      <c r="AT72" s="1462"/>
      <c r="AU72" s="20"/>
      <c r="AV72" s="20"/>
      <c r="AW72" s="20"/>
      <c r="AX72" s="20"/>
      <c r="AY72" s="20"/>
      <c r="AZ72" s="20"/>
    </row>
    <row r="73" spans="1:52" ht="13" customHeight="1">
      <c r="A73" s="1462"/>
      <c r="B73" s="1462"/>
      <c r="C73" s="1462"/>
      <c r="D73" s="1462"/>
      <c r="E73" s="1462"/>
      <c r="F73" s="1462"/>
      <c r="G73" s="1462"/>
      <c r="H73" s="1462"/>
      <c r="I73" s="1462"/>
      <c r="J73" s="1462"/>
      <c r="K73" s="1462"/>
      <c r="L73" s="1462"/>
      <c r="M73" s="1462"/>
      <c r="N73" s="1462"/>
      <c r="O73" s="1462"/>
      <c r="P73" s="1462"/>
      <c r="Q73" s="1462"/>
      <c r="R73" s="1462"/>
      <c r="S73" s="1462"/>
      <c r="T73" s="1462"/>
      <c r="U73" s="1462"/>
      <c r="V73" s="1462"/>
      <c r="W73" s="1462"/>
      <c r="X73" s="1462"/>
      <c r="Y73" s="1462"/>
      <c r="Z73" s="1462"/>
      <c r="AA73" s="1462"/>
      <c r="AB73" s="1462"/>
      <c r="AC73" s="1462"/>
      <c r="AD73" s="1462"/>
      <c r="AE73" s="1462"/>
      <c r="AF73" s="1462"/>
      <c r="AG73" s="1462"/>
      <c r="AH73" s="1462"/>
      <c r="AI73" s="1462"/>
      <c r="AJ73" s="1462"/>
      <c r="AK73" s="1462"/>
      <c r="AL73" s="1462"/>
      <c r="AM73" s="1462"/>
      <c r="AN73" s="1462"/>
      <c r="AO73" s="1462"/>
      <c r="AP73" s="1462"/>
      <c r="AQ73" s="1462"/>
      <c r="AR73" s="1462"/>
      <c r="AS73" s="1462"/>
      <c r="AT73" s="1462"/>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0" t="s">
        <v>2522</v>
      </c>
      <c r="B75" s="1810"/>
      <c r="C75" s="1810"/>
      <c r="D75" s="1810"/>
      <c r="E75" s="1810"/>
      <c r="F75" s="1810"/>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c r="AL75" s="1810"/>
      <c r="AM75" s="1810"/>
      <c r="AN75" s="1810"/>
      <c r="AO75" s="1810"/>
      <c r="AP75" s="1810"/>
      <c r="AQ75" s="1810"/>
      <c r="AR75" s="1810"/>
      <c r="AS75" s="1810"/>
      <c r="AT75" s="1810"/>
      <c r="AU75" s="20"/>
      <c r="AV75" s="20"/>
      <c r="AW75" s="20"/>
      <c r="AX75" s="20"/>
      <c r="AY75" s="20"/>
      <c r="AZ75" s="20"/>
    </row>
    <row r="76" spans="1:52" ht="13"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20"/>
      <c r="AV76" s="20"/>
      <c r="AW76" s="20"/>
      <c r="AX76" s="20"/>
      <c r="AY76" s="20"/>
      <c r="AZ76" s="17"/>
    </row>
    <row r="77" spans="1:52" ht="13" customHeight="1">
      <c r="A77" s="1810"/>
      <c r="B77" s="1810"/>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64" t="s">
        <v>2523</v>
      </c>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464"/>
      <c r="AM79" s="1464"/>
      <c r="AN79" s="1464"/>
      <c r="AO79" s="1464"/>
      <c r="AP79" s="1464"/>
      <c r="AQ79" s="1464"/>
      <c r="AR79" s="1464"/>
      <c r="AS79" s="1464"/>
      <c r="AT79" s="1464"/>
      <c r="AU79" s="20"/>
      <c r="AV79" s="20"/>
      <c r="AW79" s="20"/>
      <c r="AX79" s="20"/>
      <c r="AY79" s="20"/>
      <c r="AZ79" s="20"/>
    </row>
    <row r="80" spans="1:52" ht="13" customHeight="1">
      <c r="A80" s="1464"/>
      <c r="B80" s="1464"/>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464"/>
      <c r="AM80" s="1464"/>
      <c r="AN80" s="1464"/>
      <c r="AO80" s="1464"/>
      <c r="AP80" s="1464"/>
      <c r="AQ80" s="1464"/>
      <c r="AR80" s="1464"/>
      <c r="AS80" s="1464"/>
      <c r="AT80" s="1464"/>
      <c r="AU80" s="20"/>
      <c r="AV80" s="20"/>
      <c r="AW80" s="20"/>
      <c r="AX80" s="20"/>
      <c r="AY80" s="20"/>
      <c r="AZ80" s="20"/>
    </row>
    <row r="81" spans="1:52" ht="13" customHeight="1">
      <c r="A81" s="1464"/>
      <c r="B81" s="1464"/>
      <c r="C81" s="1464"/>
      <c r="D81" s="1464"/>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4"/>
      <c r="AD81" s="1464"/>
      <c r="AE81" s="1464"/>
      <c r="AF81" s="1464"/>
      <c r="AG81" s="1464"/>
      <c r="AH81" s="1464"/>
      <c r="AI81" s="1464"/>
      <c r="AJ81" s="1464"/>
      <c r="AK81" s="1464"/>
      <c r="AL81" s="1464"/>
      <c r="AM81" s="1464"/>
      <c r="AN81" s="1464"/>
      <c r="AO81" s="1464"/>
      <c r="AP81" s="1464"/>
      <c r="AQ81" s="1464"/>
      <c r="AR81" s="1464"/>
      <c r="AS81" s="1464"/>
      <c r="AT81" s="1464"/>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9" t="s">
        <v>2526</v>
      </c>
      <c r="B89" s="1809"/>
      <c r="C89" s="1809"/>
      <c r="D89" s="1809"/>
      <c r="E89" s="1809"/>
      <c r="F89" s="1809"/>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c r="AL89" s="1809"/>
      <c r="AM89" s="1809"/>
      <c r="AN89" s="1809"/>
      <c r="AO89" s="1809"/>
      <c r="AP89" s="1809"/>
      <c r="AQ89" s="1809"/>
      <c r="AR89" s="1809"/>
      <c r="AS89" s="1809"/>
      <c r="AT89" s="1809"/>
      <c r="AU89" s="17"/>
      <c r="AV89" s="17"/>
      <c r="AW89" s="17"/>
      <c r="AX89" s="17"/>
      <c r="AY89" s="17"/>
      <c r="AZ89" s="20"/>
    </row>
    <row r="90" spans="1:52" ht="13" customHeight="1">
      <c r="A90" s="1809"/>
      <c r="B90" s="1809"/>
      <c r="C90" s="1809"/>
      <c r="D90" s="1809"/>
      <c r="E90" s="1809"/>
      <c r="F90" s="1809"/>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c r="AL90" s="1809"/>
      <c r="AM90" s="1809"/>
      <c r="AN90" s="1809"/>
      <c r="AO90" s="1809"/>
      <c r="AP90" s="1809"/>
      <c r="AQ90" s="1809"/>
      <c r="AR90" s="1809"/>
      <c r="AS90" s="1809"/>
      <c r="AT90" s="1809"/>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0" t="s">
        <v>2527</v>
      </c>
      <c r="B92" s="1810"/>
      <c r="C92" s="1810"/>
      <c r="D92" s="1810"/>
      <c r="E92" s="1810"/>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c r="AL92" s="1810"/>
      <c r="AM92" s="1810"/>
      <c r="AN92" s="1810"/>
      <c r="AO92" s="1810"/>
      <c r="AP92" s="1810"/>
      <c r="AQ92" s="1810"/>
      <c r="AR92" s="1810"/>
      <c r="AS92" s="1810"/>
      <c r="AT92" s="1810"/>
      <c r="AU92" s="20"/>
      <c r="AV92" s="20"/>
      <c r="AW92" s="20"/>
      <c r="AX92" s="20"/>
      <c r="AY92" s="20"/>
      <c r="AZ92" s="20"/>
    </row>
    <row r="93" spans="1:52" ht="13" customHeight="1">
      <c r="A93" s="1810"/>
      <c r="B93" s="1810"/>
      <c r="C93" s="1810"/>
      <c r="D93" s="1810"/>
      <c r="E93" s="1810"/>
      <c r="F93" s="1810"/>
      <c r="G93" s="1810"/>
      <c r="H93" s="1810"/>
      <c r="I93" s="1810"/>
      <c r="J93" s="1810"/>
      <c r="K93" s="1810"/>
      <c r="L93" s="1810"/>
      <c r="M93" s="1810"/>
      <c r="N93" s="1810"/>
      <c r="O93" s="1810"/>
      <c r="P93" s="1810"/>
      <c r="Q93" s="1810"/>
      <c r="R93" s="1810"/>
      <c r="S93" s="1810"/>
      <c r="T93" s="1810"/>
      <c r="U93" s="1810"/>
      <c r="V93" s="1810"/>
      <c r="W93" s="1810"/>
      <c r="X93" s="1810"/>
      <c r="Y93" s="1810"/>
      <c r="Z93" s="1810"/>
      <c r="AA93" s="1810"/>
      <c r="AB93" s="1810"/>
      <c r="AC93" s="1810"/>
      <c r="AD93" s="1810"/>
      <c r="AE93" s="1810"/>
      <c r="AF93" s="1810"/>
      <c r="AG93" s="1810"/>
      <c r="AH93" s="1810"/>
      <c r="AI93" s="1810"/>
      <c r="AJ93" s="1810"/>
      <c r="AK93" s="1810"/>
      <c r="AL93" s="1810"/>
      <c r="AM93" s="1810"/>
      <c r="AN93" s="1810"/>
      <c r="AO93" s="1810"/>
      <c r="AP93" s="1810"/>
      <c r="AQ93" s="1810"/>
      <c r="AR93" s="1810"/>
      <c r="AS93" s="1810"/>
      <c r="AT93" s="1810"/>
      <c r="AU93" s="20"/>
      <c r="AV93" s="20"/>
      <c r="AW93" s="20"/>
      <c r="AX93" s="20"/>
      <c r="AY93" s="20"/>
      <c r="AZ93" s="20"/>
    </row>
    <row r="94" spans="1:52" ht="13" customHeight="1">
      <c r="A94" s="1810"/>
      <c r="B94" s="1810"/>
      <c r="C94" s="1810"/>
      <c r="D94" s="1810"/>
      <c r="E94" s="1810"/>
      <c r="F94" s="1810"/>
      <c r="G94" s="1810"/>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c r="AL94" s="1810"/>
      <c r="AM94" s="1810"/>
      <c r="AN94" s="1810"/>
      <c r="AO94" s="1810"/>
      <c r="AP94" s="1810"/>
      <c r="AQ94" s="1810"/>
      <c r="AR94" s="1810"/>
      <c r="AS94" s="1810"/>
      <c r="AT94" s="1810"/>
      <c r="AU94" s="20"/>
      <c r="AV94" s="20"/>
      <c r="AW94" s="20"/>
      <c r="AX94" s="20"/>
      <c r="AY94" s="20"/>
      <c r="AZ94" s="20"/>
    </row>
    <row r="95" spans="1:52" ht="13" customHeight="1">
      <c r="A95" s="1810"/>
      <c r="B95" s="1810"/>
      <c r="C95" s="1810"/>
      <c r="D95" s="1810"/>
      <c r="E95" s="1810"/>
      <c r="F95" s="1810"/>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c r="AL95" s="1810"/>
      <c r="AM95" s="1810"/>
      <c r="AN95" s="1810"/>
      <c r="AO95" s="1810"/>
      <c r="AP95" s="1810"/>
      <c r="AQ95" s="1810"/>
      <c r="AR95" s="1810"/>
      <c r="AS95" s="1810"/>
      <c r="AT95" s="1810"/>
      <c r="AU95" s="20"/>
      <c r="AV95" s="20"/>
      <c r="AW95" s="20"/>
      <c r="AX95" s="20"/>
      <c r="AY95" s="20"/>
      <c r="AZ95" s="20"/>
    </row>
    <row r="96" spans="1:52" ht="13" customHeight="1">
      <c r="A96" s="1810"/>
      <c r="B96" s="1810"/>
      <c r="C96" s="1810"/>
      <c r="D96" s="1810"/>
      <c r="E96" s="1810"/>
      <c r="F96" s="1810"/>
      <c r="G96" s="1810"/>
      <c r="H96" s="1810"/>
      <c r="I96" s="1810"/>
      <c r="J96" s="1810"/>
      <c r="K96" s="1810"/>
      <c r="L96" s="1810"/>
      <c r="M96" s="1810"/>
      <c r="N96" s="1810"/>
      <c r="O96" s="1810"/>
      <c r="P96" s="1810"/>
      <c r="Q96" s="1810"/>
      <c r="R96" s="1810"/>
      <c r="S96" s="1810"/>
      <c r="T96" s="1810"/>
      <c r="U96" s="1810"/>
      <c r="V96" s="1810"/>
      <c r="W96" s="1810"/>
      <c r="X96" s="1810"/>
      <c r="Y96" s="1810"/>
      <c r="Z96" s="1810"/>
      <c r="AA96" s="1810"/>
      <c r="AB96" s="1810"/>
      <c r="AC96" s="1810"/>
      <c r="AD96" s="1810"/>
      <c r="AE96" s="1810"/>
      <c r="AF96" s="1810"/>
      <c r="AG96" s="1810"/>
      <c r="AH96" s="1810"/>
      <c r="AI96" s="1810"/>
      <c r="AJ96" s="1810"/>
      <c r="AK96" s="1810"/>
      <c r="AL96" s="1810"/>
      <c r="AM96" s="1810"/>
      <c r="AN96" s="1810"/>
      <c r="AO96" s="1810"/>
      <c r="AP96" s="1810"/>
      <c r="AQ96" s="1810"/>
      <c r="AR96" s="1810"/>
      <c r="AS96" s="1810"/>
      <c r="AT96" s="1810"/>
      <c r="AU96" s="20"/>
      <c r="AV96" s="20"/>
      <c r="AW96" s="20"/>
      <c r="AX96" s="20"/>
      <c r="AY96" s="20"/>
      <c r="AZ96" s="20"/>
    </row>
    <row r="97" spans="1:52" ht="13" customHeight="1">
      <c r="A97" s="1810"/>
      <c r="B97" s="1810"/>
      <c r="C97" s="1810"/>
      <c r="D97" s="1810"/>
      <c r="E97" s="1810"/>
      <c r="F97" s="1810"/>
      <c r="G97" s="1810"/>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c r="AL97" s="1810"/>
      <c r="AM97" s="1810"/>
      <c r="AN97" s="1810"/>
      <c r="AO97" s="1810"/>
      <c r="AP97" s="1810"/>
      <c r="AQ97" s="1810"/>
      <c r="AR97" s="1810"/>
      <c r="AS97" s="1810"/>
      <c r="AT97" s="1810"/>
      <c r="AU97" s="20"/>
      <c r="AV97" s="20"/>
      <c r="AW97" s="20"/>
      <c r="AX97" s="20"/>
      <c r="AY97" s="20"/>
      <c r="AZ97" s="20"/>
    </row>
    <row r="98" spans="1:52" ht="13" customHeight="1">
      <c r="A98" s="1810"/>
      <c r="B98" s="1810"/>
      <c r="C98" s="1810"/>
      <c r="D98" s="1810"/>
      <c r="E98" s="1810"/>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1810"/>
      <c r="AM98" s="1810"/>
      <c r="AN98" s="1810"/>
      <c r="AO98" s="1810"/>
      <c r="AP98" s="1810"/>
      <c r="AQ98" s="1810"/>
      <c r="AR98" s="1810"/>
      <c r="AS98" s="1810"/>
      <c r="AT98" s="181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1"/>
      <c r="H113" s="1801"/>
      <c r="I113" s="3" t="s">
        <v>181</v>
      </c>
      <c r="L113" s="1801"/>
      <c r="M113" s="1801"/>
      <c r="N113" s="1801"/>
      <c r="O113" s="1801"/>
      <c r="P113" s="1800" t="s">
        <v>2531</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06"/>
      <c r="D115" s="1806"/>
      <c r="E115" s="1806"/>
      <c r="F115" s="1806"/>
      <c r="G115" s="1806"/>
      <c r="H115" s="1806"/>
      <c r="I115" s="1806"/>
      <c r="J115" s="1806"/>
      <c r="K115" s="180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1"/>
      <c r="Z117" s="1801"/>
      <c r="AA117" s="1801"/>
      <c r="AB117" s="1801"/>
      <c r="AC117" s="1801"/>
      <c r="AD117" s="1801"/>
      <c r="AE117" s="1801"/>
      <c r="AF117" s="1801"/>
      <c r="AG117" s="1801"/>
      <c r="AH117" s="1801"/>
      <c r="AI117" s="1801"/>
      <c r="AJ117" s="1801"/>
      <c r="AK117" s="180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1"/>
      <c r="Z120" s="1801"/>
      <c r="AA120" s="1801"/>
      <c r="AB120" s="1801"/>
      <c r="AC120" s="1801"/>
      <c r="AD120" s="1801"/>
      <c r="AE120" s="1801"/>
      <c r="AF120" s="1801"/>
      <c r="AG120" s="1801"/>
      <c r="AH120" s="1801"/>
      <c r="AI120" s="1801"/>
      <c r="AJ120" s="1801"/>
      <c r="AK120" s="180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1"/>
      <c r="Z123" s="1801"/>
      <c r="AA123" s="1801"/>
      <c r="AB123" s="1801"/>
      <c r="AC123" s="1801"/>
      <c r="AD123" s="1801"/>
      <c r="AE123" s="1801"/>
      <c r="AF123" s="1801"/>
      <c r="AG123" s="1801"/>
      <c r="AH123" s="1801"/>
      <c r="AI123" s="1801"/>
      <c r="AJ123" s="1801"/>
      <c r="AK123" s="180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66" t="s">
        <v>887</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3" customHeight="1">
      <c r="D154" s="325" t="s">
        <v>441</v>
      </c>
      <c r="O154" s="1476" t="s">
        <v>2689</v>
      </c>
      <c r="P154" s="1476"/>
      <c r="Q154" s="1476"/>
      <c r="R154" s="1476"/>
      <c r="S154" s="1476"/>
      <c r="T154" s="1476"/>
      <c r="U154" s="1476"/>
      <c r="V154" s="1476"/>
      <c r="W154" s="1476"/>
      <c r="X154" s="1476"/>
      <c r="Y154" s="1476"/>
      <c r="Z154" s="1476"/>
      <c r="AA154" s="1476"/>
      <c r="AB154" s="1476"/>
      <c r="AC154" s="1476"/>
      <c r="AD154" s="1476"/>
      <c r="AE154" s="1476"/>
      <c r="AF154" s="1476"/>
      <c r="AG154" s="1476"/>
      <c r="AH154" s="1476"/>
    </row>
    <row r="155" spans="1:72" ht="13" customHeight="1">
      <c r="D155" s="8" t="s">
        <v>443</v>
      </c>
      <c r="F155" s="8"/>
      <c r="G155" s="8"/>
      <c r="H155" s="8"/>
      <c r="I155" s="8"/>
      <c r="J155" s="8"/>
      <c r="K155" s="8"/>
      <c r="L155" s="8"/>
      <c r="M155" s="8"/>
      <c r="N155" s="8"/>
      <c r="O155" s="1795" t="s">
        <v>442</v>
      </c>
      <c r="P155" s="1795"/>
      <c r="Q155" s="1795"/>
      <c r="R155" s="1795"/>
      <c r="S155" s="1795"/>
      <c r="T155" s="1795"/>
      <c r="U155" s="1795"/>
      <c r="V155" s="1795"/>
      <c r="W155" s="1795"/>
      <c r="X155" s="1795"/>
      <c r="Y155" s="1795"/>
      <c r="Z155" s="1795"/>
      <c r="AA155" s="1795"/>
      <c r="AB155" s="1795"/>
      <c r="AC155" s="1795"/>
      <c r="AD155" s="1795"/>
      <c r="AE155" s="1795"/>
      <c r="AF155" s="1795"/>
      <c r="AG155" s="1795"/>
      <c r="AH155" s="1795"/>
    </row>
    <row r="156" spans="1:72" ht="13" customHeight="1">
      <c r="D156" t="s">
        <v>313</v>
      </c>
      <c r="O156" s="1475" t="s">
        <v>2690</v>
      </c>
      <c r="P156" s="1475"/>
      <c r="Q156" s="1475"/>
      <c r="R156" s="1475"/>
      <c r="S156" s="1475"/>
      <c r="T156" s="1475"/>
      <c r="U156" s="1475"/>
      <c r="V156" s="1475"/>
      <c r="W156" s="1475"/>
      <c r="X156" s="1475"/>
      <c r="Y156" s="1475"/>
      <c r="Z156" s="1475"/>
      <c r="AA156" s="1475"/>
      <c r="AB156" s="1475"/>
      <c r="AC156" s="1475"/>
      <c r="AD156" s="1475"/>
      <c r="AE156" s="1475"/>
      <c r="AF156" s="1475"/>
      <c r="AG156" s="1475"/>
      <c r="AH156" s="1475"/>
      <c r="BT156" t="s">
        <v>307</v>
      </c>
    </row>
    <row r="157" spans="1:72" ht="13" customHeight="1">
      <c r="D157" t="s">
        <v>314</v>
      </c>
      <c r="O157" s="1465" t="s">
        <v>502</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3" customHeight="1">
      <c r="D158" t="s">
        <v>315</v>
      </c>
      <c r="O158" s="1796">
        <v>90017</v>
      </c>
      <c r="P158" s="1796"/>
      <c r="Q158" s="1796"/>
      <c r="R158" s="1796"/>
      <c r="S158" s="9"/>
      <c r="T158" s="9"/>
      <c r="U158" s="9"/>
      <c r="V158" s="9"/>
      <c r="W158" s="9"/>
      <c r="X158" s="9"/>
      <c r="Y158" s="9"/>
      <c r="Z158" s="9"/>
      <c r="AA158" s="9"/>
      <c r="AB158" s="9"/>
      <c r="AC158" s="9"/>
      <c r="AD158" s="9"/>
      <c r="AE158" s="9"/>
      <c r="AF158" s="9"/>
      <c r="BN158" s="23" t="s">
        <v>645</v>
      </c>
      <c r="BT158" t="s">
        <v>485</v>
      </c>
    </row>
    <row r="159" spans="1:72" ht="13" customHeight="1">
      <c r="D159" t="s">
        <v>316</v>
      </c>
      <c r="O159" s="1798" t="s">
        <v>2691</v>
      </c>
      <c r="P159" s="1798"/>
      <c r="Q159" s="1798"/>
      <c r="R159" s="1798"/>
      <c r="S159" s="1798"/>
      <c r="T159" s="1798"/>
      <c r="V159" s="97" t="s">
        <v>271</v>
      </c>
      <c r="W159" s="1797"/>
      <c r="X159" s="1797"/>
      <c r="Y159" s="10"/>
      <c r="Z159" s="10"/>
      <c r="AA159" s="10"/>
      <c r="AB159" s="10"/>
      <c r="AC159" s="10"/>
      <c r="AD159" s="10"/>
      <c r="AE159" s="10"/>
      <c r="AF159" s="10"/>
      <c r="BN159" s="23" t="s">
        <v>339</v>
      </c>
      <c r="BT159" t="s">
        <v>486</v>
      </c>
    </row>
    <row r="160" spans="1:72" ht="13" customHeight="1">
      <c r="D160" t="s">
        <v>317</v>
      </c>
      <c r="O160" s="1798" t="s">
        <v>2692</v>
      </c>
      <c r="P160" s="1798"/>
      <c r="Q160" s="1798"/>
      <c r="R160" s="1798"/>
      <c r="S160" s="1798"/>
      <c r="T160" s="1798"/>
      <c r="U160" s="10"/>
      <c r="V160" s="10"/>
      <c r="W160" s="10"/>
      <c r="X160" s="10"/>
      <c r="Y160" s="10"/>
      <c r="Z160" s="10"/>
      <c r="AA160" s="10"/>
      <c r="AB160" s="10"/>
      <c r="AC160" s="10"/>
      <c r="AD160" s="10"/>
      <c r="AE160" s="10"/>
      <c r="AF160" s="10"/>
      <c r="BN160" s="23" t="s">
        <v>668</v>
      </c>
      <c r="BT160" t="s">
        <v>487</v>
      </c>
    </row>
    <row r="161" spans="1:72" ht="13" customHeight="1">
      <c r="D161" t="s">
        <v>318</v>
      </c>
      <c r="O161" s="1784" t="s">
        <v>2693</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07" t="s">
        <v>2626</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87" t="s">
        <v>547</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95"/>
      <c r="AV169" s="95"/>
      <c r="AW169" s="95"/>
      <c r="AX169" s="95"/>
      <c r="AY169" s="95"/>
      <c r="BN169" s="23" t="s">
        <v>681</v>
      </c>
      <c r="BT169" t="s">
        <v>496</v>
      </c>
    </row>
    <row r="170" spans="1:72"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4" t="s">
        <v>371</v>
      </c>
      <c r="K173" s="1794"/>
      <c r="L173" s="1794"/>
      <c r="M173" s="1794"/>
      <c r="N173" s="1794"/>
      <c r="O173" s="1794"/>
      <c r="P173" s="1794"/>
      <c r="Q173" s="1794"/>
      <c r="R173" s="1794"/>
      <c r="S173" s="1794"/>
      <c r="U173" s="25"/>
      <c r="X173" s="25"/>
      <c r="BB173" s="3" t="s">
        <v>307</v>
      </c>
      <c r="BN173" s="23" t="s">
        <v>214</v>
      </c>
      <c r="BT173" t="s">
        <v>500</v>
      </c>
    </row>
    <row r="174" spans="1:72" ht="13" customHeight="1">
      <c r="C174" s="24"/>
      <c r="D174" s="3" t="s">
        <v>1308</v>
      </c>
      <c r="J174" s="1475" t="s">
        <v>2421</v>
      </c>
      <c r="K174" s="1475"/>
      <c r="L174" s="1475"/>
      <c r="M174" s="1475"/>
      <c r="N174" s="1475"/>
      <c r="O174" s="1475"/>
      <c r="P174" s="1475"/>
      <c r="Q174" s="1475"/>
      <c r="R174" s="1475"/>
      <c r="S174" s="1475"/>
      <c r="T174" s="1475"/>
      <c r="U174" s="1475"/>
      <c r="V174" s="1475"/>
      <c r="W174" s="1475"/>
      <c r="X174" s="1475"/>
      <c r="Y174" s="1475"/>
      <c r="Z174" s="1475"/>
      <c r="AA174" s="1475"/>
      <c r="AB174" s="1475"/>
      <c r="BB174" t="s">
        <v>2274</v>
      </c>
      <c r="BN174" s="23" t="s">
        <v>216</v>
      </c>
      <c r="BT174" t="s">
        <v>501</v>
      </c>
    </row>
    <row r="175" spans="1:72" ht="13" customHeight="1">
      <c r="C175" s="8"/>
      <c r="D175" s="3" t="s">
        <v>322</v>
      </c>
      <c r="O175" s="27"/>
      <c r="U175" s="1467"/>
      <c r="V175" s="1467"/>
      <c r="BB175" t="s">
        <v>2238</v>
      </c>
      <c r="BN175" s="23" t="s">
        <v>217</v>
      </c>
      <c r="BT175" t="s">
        <v>502</v>
      </c>
    </row>
    <row r="176" spans="1:72" ht="13" customHeight="1">
      <c r="C176" s="8"/>
      <c r="D176" s="26"/>
      <c r="E176" t="s">
        <v>304</v>
      </c>
      <c r="O176" s="27"/>
      <c r="P176" t="s">
        <v>2396</v>
      </c>
      <c r="T176" s="27" t="s">
        <v>305</v>
      </c>
      <c r="U176" s="1452"/>
      <c r="V176" s="1452"/>
      <c r="W176" s="1" t="s">
        <v>306</v>
      </c>
      <c r="X176" s="1811"/>
      <c r="Y176" s="1811"/>
      <c r="BB176" t="s">
        <v>2275</v>
      </c>
      <c r="BN176" s="23" t="s">
        <v>219</v>
      </c>
      <c r="BT176" t="s">
        <v>503</v>
      </c>
    </row>
    <row r="177" spans="1:72" ht="13" customHeight="1">
      <c r="C177" s="24"/>
      <c r="D177" t="s">
        <v>249</v>
      </c>
      <c r="R177" s="1467"/>
      <c r="S177" s="1467"/>
      <c r="BB177" t="s">
        <v>2580</v>
      </c>
      <c r="BN177" s="23" t="s">
        <v>220</v>
      </c>
      <c r="BT177" t="s">
        <v>504</v>
      </c>
    </row>
    <row r="178" spans="1:72" ht="13" customHeight="1">
      <c r="C178" s="24"/>
      <c r="D178" s="3" t="s">
        <v>1309</v>
      </c>
      <c r="AA178" t="s">
        <v>2396</v>
      </c>
      <c r="AE178" s="27" t="s">
        <v>305</v>
      </c>
      <c r="AF178" s="1639"/>
      <c r="AG178" s="1639"/>
      <c r="AH178" s="1" t="s">
        <v>306</v>
      </c>
      <c r="AI178" s="1690"/>
      <c r="AJ178" s="1690"/>
      <c r="AK178" s="1690"/>
      <c r="BB178" t="s">
        <v>2581</v>
      </c>
      <c r="BN178" s="23" t="s">
        <v>221</v>
      </c>
      <c r="BT178" t="s">
        <v>53</v>
      </c>
    </row>
    <row r="179" spans="1:72" ht="13" customHeight="1">
      <c r="C179" s="24"/>
      <c r="BN179" s="23" t="s">
        <v>222</v>
      </c>
      <c r="BT179" t="s">
        <v>54</v>
      </c>
    </row>
    <row r="180" spans="1:72" ht="13" customHeight="1">
      <c r="C180" s="24"/>
      <c r="D180" t="s">
        <v>2397</v>
      </c>
      <c r="X180" s="1467"/>
      <c r="Y180" s="1467"/>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55" t="str">
        <f>H18</f>
        <v>Treehouse Leimert</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595</v>
      </c>
      <c r="BN184" s="23" t="s">
        <v>230</v>
      </c>
      <c r="BT184" t="s">
        <v>62</v>
      </c>
    </row>
    <row r="185" spans="1:72" ht="13" customHeight="1">
      <c r="C185" s="21"/>
      <c r="D185" t="s">
        <v>587</v>
      </c>
      <c r="I185" s="1471" t="s">
        <v>2643</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596</v>
      </c>
      <c r="BN185" s="23" t="s">
        <v>231</v>
      </c>
      <c r="BT185" t="s">
        <v>63</v>
      </c>
    </row>
    <row r="186" spans="1:72" ht="13" customHeight="1">
      <c r="C186" s="21"/>
      <c r="E186" t="s">
        <v>167</v>
      </c>
      <c r="BN186" s="23" t="s">
        <v>232</v>
      </c>
      <c r="BT186" t="s">
        <v>64</v>
      </c>
    </row>
    <row r="187" spans="1:72" ht="13"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T187" t="s">
        <v>65</v>
      </c>
    </row>
    <row r="188" spans="1:72" ht="13" customHeight="1">
      <c r="C188" s="21"/>
      <c r="E188" s="1637"/>
      <c r="F188" s="1637"/>
      <c r="G188" s="1637"/>
      <c r="H188" s="1637"/>
      <c r="I188" s="1637"/>
      <c r="J188" s="1637"/>
      <c r="K188" s="1637"/>
      <c r="L188" s="1637"/>
      <c r="M188" s="1637"/>
      <c r="N188" s="1637"/>
      <c r="O188" s="1637"/>
      <c r="P188" s="1637"/>
      <c r="Q188" s="1637"/>
      <c r="R188" s="1637"/>
      <c r="S188" s="1637"/>
      <c r="T188" s="1637"/>
      <c r="U188" s="1637"/>
      <c r="V188" s="1637"/>
      <c r="W188" s="1637"/>
      <c r="X188" s="1637"/>
      <c r="Y188" s="1637"/>
      <c r="Z188" s="1637"/>
      <c r="AA188" s="1637"/>
      <c r="AB188" s="1637"/>
      <c r="AC188" s="1637"/>
      <c r="AD188" s="1637"/>
      <c r="AE188" s="1637"/>
      <c r="BN188" s="23" t="s">
        <v>235</v>
      </c>
      <c r="BT188" t="s">
        <v>66</v>
      </c>
    </row>
    <row r="189" spans="1:72" ht="13" customHeight="1">
      <c r="C189" s="21"/>
      <c r="D189" t="s">
        <v>588</v>
      </c>
      <c r="I189" s="1475" t="s">
        <v>502</v>
      </c>
      <c r="J189" s="1475"/>
      <c r="K189" s="1475"/>
      <c r="L189" s="1475"/>
      <c r="M189" s="1475"/>
      <c r="N189" s="1475"/>
      <c r="O189" s="1475"/>
      <c r="P189" s="1475"/>
      <c r="Q189" t="s">
        <v>590</v>
      </c>
      <c r="T189" s="1475" t="s">
        <v>502</v>
      </c>
      <c r="U189" s="1475"/>
      <c r="V189" s="1475"/>
      <c r="W189" s="1475"/>
      <c r="X189" s="1475"/>
      <c r="Y189" s="1475"/>
      <c r="Z189" s="1475"/>
      <c r="AA189" s="1475"/>
      <c r="AB189" s="1475"/>
      <c r="AC189" s="1475"/>
      <c r="AD189" s="1475"/>
      <c r="AE189" s="1475"/>
      <c r="BC189" t="s">
        <v>307</v>
      </c>
      <c r="BH189" s="3" t="s">
        <v>599</v>
      </c>
      <c r="BN189" s="23" t="s">
        <v>236</v>
      </c>
      <c r="BT189" t="s">
        <v>67</v>
      </c>
    </row>
    <row r="190" spans="1:72" ht="13" customHeight="1">
      <c r="C190" s="21"/>
      <c r="D190" t="s">
        <v>591</v>
      </c>
      <c r="I190" s="1471">
        <v>90043</v>
      </c>
      <c r="J190" s="1471"/>
      <c r="K190" s="1471"/>
      <c r="L190" s="1471"/>
      <c r="M190" s="1471"/>
      <c r="N190" s="1471"/>
      <c r="O190" t="s">
        <v>593</v>
      </c>
      <c r="T190" s="1812" t="s">
        <v>2640</v>
      </c>
      <c r="U190" s="1812"/>
      <c r="V190" s="1812"/>
      <c r="W190" s="1812"/>
      <c r="X190" s="1812"/>
      <c r="Y190" s="1812"/>
      <c r="Z190" s="1812"/>
      <c r="AA190" s="1812"/>
      <c r="AB190" s="1812"/>
      <c r="AC190" s="1812"/>
      <c r="AD190" s="1812"/>
      <c r="AE190" s="1812"/>
      <c r="BC190" t="s">
        <v>1065</v>
      </c>
      <c r="BH190" t="s">
        <v>1065</v>
      </c>
      <c r="BN190" s="23" t="s">
        <v>643</v>
      </c>
      <c r="BT190" t="s">
        <v>68</v>
      </c>
    </row>
    <row r="191" spans="1:72" ht="13" customHeight="1">
      <c r="C191" s="21"/>
      <c r="D191" t="s">
        <v>470</v>
      </c>
      <c r="N191" s="1808" t="s">
        <v>2639</v>
      </c>
      <c r="O191" s="1808"/>
      <c r="P191" s="1808"/>
      <c r="Q191" s="1808"/>
      <c r="R191" s="1808"/>
      <c r="S191" s="1808"/>
      <c r="T191" s="1808"/>
      <c r="U191" s="1808"/>
      <c r="V191" s="1808"/>
      <c r="W191" s="1808"/>
      <c r="X191" s="1808"/>
      <c r="Y191" s="1808"/>
      <c r="Z191" s="1808"/>
      <c r="AA191" s="1808"/>
      <c r="AB191" s="1808"/>
      <c r="AC191" s="1808"/>
      <c r="AD191" s="1808"/>
      <c r="AE191" s="1808"/>
      <c r="BC191" t="s">
        <v>1064</v>
      </c>
      <c r="BH191" t="s">
        <v>1064</v>
      </c>
      <c r="BN191" s="23" t="s">
        <v>697</v>
      </c>
      <c r="BT191" t="s">
        <v>736</v>
      </c>
    </row>
    <row r="192" spans="1:72" ht="13" customHeight="1">
      <c r="C192" s="21"/>
      <c r="M192" s="40"/>
      <c r="N192" s="1637"/>
      <c r="O192" s="1637"/>
      <c r="P192" s="1637"/>
      <c r="Q192" s="1637"/>
      <c r="R192" s="1637"/>
      <c r="S192" s="1637"/>
      <c r="T192" s="1637"/>
      <c r="U192" s="1637"/>
      <c r="V192" s="1637"/>
      <c r="W192" s="1637"/>
      <c r="X192" s="1637"/>
      <c r="Y192" s="1637"/>
      <c r="Z192" s="1637"/>
      <c r="AA192" s="1637"/>
      <c r="AB192" s="1637"/>
      <c r="AC192" s="1637"/>
      <c r="AD192" s="1637"/>
      <c r="AE192" s="1637"/>
      <c r="BC192" t="s">
        <v>1067</v>
      </c>
      <c r="BH192" s="3" t="s">
        <v>1475</v>
      </c>
      <c r="BN192" s="23" t="s">
        <v>698</v>
      </c>
      <c r="BT192" t="s">
        <v>737</v>
      </c>
    </row>
    <row r="193" spans="1:74" ht="13" customHeight="1">
      <c r="C193" s="21"/>
      <c r="D193" t="s">
        <v>2398</v>
      </c>
      <c r="M193" s="40"/>
      <c r="N193" s="928"/>
      <c r="O193" s="928"/>
      <c r="P193" s="928"/>
      <c r="Q193" s="928"/>
      <c r="R193" s="928"/>
      <c r="S193" s="928"/>
      <c r="T193" s="1805" t="s">
        <v>2580</v>
      </c>
      <c r="U193" s="1805"/>
      <c r="V193" s="1805"/>
      <c r="W193" s="1805"/>
      <c r="X193" s="1805"/>
      <c r="Y193" s="1805"/>
      <c r="Z193" s="1805"/>
      <c r="AA193" s="1805"/>
      <c r="AB193" s="1805"/>
      <c r="AC193" s="1805"/>
      <c r="AD193" s="1805"/>
      <c r="AE193" s="1805"/>
      <c r="AF193" s="1805"/>
      <c r="AG193" s="1805"/>
      <c r="AH193" s="1805"/>
      <c r="AI193" s="1805"/>
      <c r="BC193" t="s">
        <v>1066</v>
      </c>
      <c r="BH193" s="3" t="s">
        <v>1742</v>
      </c>
      <c r="BN193" s="23" t="s">
        <v>699</v>
      </c>
      <c r="BT193" t="s">
        <v>738</v>
      </c>
    </row>
    <row r="194" spans="1:74" ht="13" customHeight="1">
      <c r="C194" s="21"/>
      <c r="D194" s="3" t="s">
        <v>2582</v>
      </c>
      <c r="M194" s="40"/>
      <c r="N194" s="928"/>
      <c r="O194" s="928"/>
      <c r="P194" s="928"/>
      <c r="Q194" s="928"/>
      <c r="R194" s="928"/>
      <c r="S194" s="928"/>
      <c r="AH194" s="1467" t="s">
        <v>677</v>
      </c>
      <c r="AI194" s="1467"/>
      <c r="BC194" t="s">
        <v>1475</v>
      </c>
      <c r="BN194" s="23" t="s">
        <v>700</v>
      </c>
      <c r="BT194" t="s">
        <v>739</v>
      </c>
    </row>
    <row r="195" spans="1:74" ht="13" customHeight="1">
      <c r="C195" s="21"/>
      <c r="D195" t="s">
        <v>331</v>
      </c>
      <c r="T195" s="1467" t="s">
        <v>677</v>
      </c>
      <c r="U195" s="1467"/>
      <c r="W195" t="s">
        <v>693</v>
      </c>
      <c r="AH195" s="1467"/>
      <c r="AI195" s="1467"/>
      <c r="BC195" t="s">
        <v>2048</v>
      </c>
      <c r="BN195" s="23" t="s">
        <v>242</v>
      </c>
      <c r="BT195" t="s">
        <v>740</v>
      </c>
    </row>
    <row r="196" spans="1:74" ht="13" customHeight="1">
      <c r="C196" s="21"/>
      <c r="D196" t="s">
        <v>386</v>
      </c>
      <c r="T196" s="1359" t="s">
        <v>553</v>
      </c>
      <c r="U196" s="1359"/>
      <c r="W196" t="s">
        <v>694</v>
      </c>
      <c r="AH196" s="1467"/>
      <c r="AI196" s="1467"/>
      <c r="BN196" s="23" t="s">
        <v>243</v>
      </c>
      <c r="BT196" t="s">
        <v>69</v>
      </c>
    </row>
    <row r="197" spans="1:74" ht="13" customHeight="1">
      <c r="C197" s="21"/>
      <c r="D197" s="3" t="s">
        <v>168</v>
      </c>
      <c r="T197" s="1359" t="s">
        <v>677</v>
      </c>
      <c r="U197" s="1359"/>
      <c r="W197" t="s">
        <v>695</v>
      </c>
      <c r="AH197" s="1467"/>
      <c r="AI197" s="1467"/>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359"/>
      <c r="U198" s="135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467" t="s">
        <v>677</v>
      </c>
      <c r="AA199" s="146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455" t="s">
        <v>385</v>
      </c>
      <c r="E204" s="1455"/>
      <c r="F204" s="1455"/>
      <c r="G204" s="1455"/>
      <c r="H204" s="1455"/>
      <c r="I204" s="1455"/>
      <c r="J204" s="1455"/>
      <c r="K204" s="1455"/>
      <c r="L204" s="1455"/>
      <c r="M204" s="1455"/>
      <c r="P204" s="1791">
        <f>M26</f>
        <v>2631756</v>
      </c>
      <c r="Q204" s="1788"/>
      <c r="R204" s="1788"/>
      <c r="S204" s="1788"/>
      <c r="T204" s="1788"/>
      <c r="U204" s="1788"/>
      <c r="Z204" s="1786" t="s">
        <v>2630</v>
      </c>
      <c r="AA204" s="1786"/>
      <c r="AB204" s="1786"/>
      <c r="AC204" s="1786"/>
      <c r="AD204" s="1786"/>
      <c r="AE204" s="1786"/>
      <c r="AF204" s="1786"/>
      <c r="BC204" t="s">
        <v>618</v>
      </c>
      <c r="BN204" s="23" t="s">
        <v>712</v>
      </c>
      <c r="BT204" s="32" t="s">
        <v>197</v>
      </c>
      <c r="BU204" s="14"/>
    </row>
    <row r="205" spans="1:74" ht="13" customHeight="1">
      <c r="C205" s="21"/>
      <c r="D205" s="1785" t="s">
        <v>1355</v>
      </c>
      <c r="E205" s="1455"/>
      <c r="F205" s="1455"/>
      <c r="G205" s="1455"/>
      <c r="H205" s="1455"/>
      <c r="I205" s="1455"/>
      <c r="J205" s="1455"/>
      <c r="K205" s="1455"/>
      <c r="L205" s="1455"/>
      <c r="M205" s="1455"/>
      <c r="P205" s="1788">
        <f>M27</f>
        <v>15183205</v>
      </c>
      <c r="Q205" s="1788"/>
      <c r="R205" s="1788"/>
      <c r="S205" s="1788"/>
      <c r="T205" s="1788"/>
      <c r="U205" s="1788"/>
      <c r="V205" s="28"/>
      <c r="W205" s="3" t="s">
        <v>1910</v>
      </c>
      <c r="Z205" s="1786"/>
      <c r="AA205" s="1786"/>
      <c r="AB205" s="1786"/>
      <c r="AC205" s="1786"/>
      <c r="AD205" s="1786"/>
      <c r="AE205" s="1786"/>
      <c r="AF205" s="1786"/>
      <c r="AG205" t="s">
        <v>1356</v>
      </c>
      <c r="AP205" s="1467" t="s">
        <v>677</v>
      </c>
      <c r="AQ205" s="1467"/>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787"/>
      <c r="AA206" s="1787"/>
      <c r="AB206" s="1787"/>
      <c r="AC206" s="1787"/>
      <c r="AD206" s="1787"/>
      <c r="AE206" s="1787"/>
      <c r="AF206" s="1787"/>
      <c r="BC206" s="470" t="s">
        <v>1093</v>
      </c>
      <c r="BN206" s="23" t="s">
        <v>110</v>
      </c>
      <c r="BT206" s="32" t="s">
        <v>198</v>
      </c>
      <c r="BU206" s="14"/>
    </row>
    <row r="207" spans="1:74" ht="13" customHeight="1">
      <c r="A207" s="2" t="s">
        <v>597</v>
      </c>
      <c r="C207" s="2" t="s">
        <v>559</v>
      </c>
      <c r="BC207" s="3" t="s">
        <v>2572</v>
      </c>
      <c r="BN207" s="23" t="s">
        <v>45</v>
      </c>
      <c r="BT207" s="32" t="s">
        <v>199</v>
      </c>
    </row>
    <row r="208" spans="1:74" ht="13" customHeight="1">
      <c r="C208" s="21"/>
      <c r="D208" s="1466" t="s">
        <v>2641</v>
      </c>
      <c r="E208" s="1466"/>
      <c r="F208" s="1466"/>
      <c r="G208" s="1466"/>
      <c r="H208" s="1466"/>
      <c r="I208" s="1466"/>
      <c r="J208" s="1466"/>
      <c r="K208" s="1466"/>
      <c r="L208" s="1466"/>
      <c r="M208" s="1466"/>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66" t="s">
        <v>1065</v>
      </c>
      <c r="E211" s="1466"/>
      <c r="F211" s="1466"/>
      <c r="G211" s="1466"/>
      <c r="H211" s="1466"/>
      <c r="I211" s="1466"/>
      <c r="J211" s="1466"/>
      <c r="K211" s="1466"/>
      <c r="L211" s="1466"/>
      <c r="M211" s="1466"/>
      <c r="BN211" s="23" t="s">
        <v>129</v>
      </c>
      <c r="BT211" s="32" t="s">
        <v>130</v>
      </c>
    </row>
    <row r="212" spans="1:72" ht="13" customHeight="1">
      <c r="C212" s="21"/>
      <c r="D212" t="s">
        <v>1352</v>
      </c>
      <c r="Y212" s="1467"/>
      <c r="Z212" s="1467"/>
      <c r="AB212" s="1803">
        <f>IFERROR(Y212/AG440,"")</f>
        <v>0</v>
      </c>
      <c r="AC212" s="1804"/>
      <c r="BC212" t="s">
        <v>307</v>
      </c>
      <c r="BI212" t="s">
        <v>1290</v>
      </c>
      <c r="BN212" s="23" t="s">
        <v>49</v>
      </c>
      <c r="BT212" s="32" t="s">
        <v>203</v>
      </c>
    </row>
    <row r="213" spans="1:72" ht="13" customHeight="1">
      <c r="D213" s="1189" t="s">
        <v>1741</v>
      </c>
      <c r="BC213" t="s">
        <v>534</v>
      </c>
      <c r="BI213" t="s">
        <v>2630</v>
      </c>
      <c r="BN213" s="23" t="s">
        <v>50</v>
      </c>
      <c r="BT213" s="32" t="s">
        <v>204</v>
      </c>
    </row>
    <row r="214" spans="1:72" ht="13" customHeight="1">
      <c r="D214" s="1830" t="s">
        <v>599</v>
      </c>
      <c r="E214" s="1830"/>
      <c r="F214" s="1830"/>
      <c r="G214" s="1830"/>
      <c r="H214" s="1830"/>
      <c r="I214" s="1830"/>
      <c r="J214" s="1830"/>
      <c r="K214" s="1830"/>
      <c r="L214" s="1830"/>
      <c r="M214" s="1830"/>
      <c r="N214" s="1830"/>
      <c r="O214" s="1830"/>
      <c r="P214" s="1830"/>
      <c r="Q214" s="1830"/>
      <c r="R214" s="1830"/>
      <c r="S214" s="1830"/>
      <c r="T214" s="1830"/>
      <c r="U214" s="1830"/>
      <c r="V214" s="1830"/>
      <c r="W214" s="1830"/>
      <c r="X214" s="1830"/>
      <c r="Y214" s="1830"/>
      <c r="Z214" s="1830"/>
      <c r="AU214" s="21"/>
      <c r="AV214" s="21"/>
      <c r="AW214" s="21"/>
      <c r="AX214" s="21"/>
      <c r="AY214" s="21"/>
      <c r="BC214" t="s">
        <v>538</v>
      </c>
      <c r="BI214" t="s">
        <v>2636</v>
      </c>
      <c r="BN214" s="23" t="s">
        <v>326</v>
      </c>
      <c r="BT214" s="32" t="s">
        <v>205</v>
      </c>
    </row>
    <row r="215" spans="1:72" ht="13" customHeight="1">
      <c r="D215" s="3" t="s">
        <v>1766</v>
      </c>
      <c r="Z215" s="40"/>
      <c r="AB215" s="1829"/>
      <c r="AC215" s="1829"/>
      <c r="AD215" s="1829"/>
      <c r="AE215" s="1829"/>
      <c r="AF215" s="1829"/>
      <c r="AG215" s="1829"/>
      <c r="AH215" s="1829"/>
      <c r="AI215" s="1829"/>
      <c r="AJ215" s="1829"/>
      <c r="AK215" s="1829"/>
      <c r="AL215" s="1829"/>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829"/>
      <c r="AC216" s="1829"/>
      <c r="AD216" s="1829"/>
      <c r="AE216" s="1829"/>
      <c r="AF216" s="1829"/>
      <c r="AG216" s="1829"/>
      <c r="AH216" s="1829"/>
      <c r="AI216" s="1829"/>
      <c r="AJ216" s="1829"/>
      <c r="AK216" s="1829"/>
      <c r="AL216" s="1829"/>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66" t="s">
        <v>887</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300</v>
      </c>
    </row>
    <row r="221" spans="1:72" ht="13" customHeight="1">
      <c r="A221" s="2"/>
      <c r="B221" s="14"/>
      <c r="C221" s="2"/>
      <c r="AU221" s="95"/>
      <c r="AV221" s="95"/>
      <c r="AW221" s="95"/>
      <c r="AX221" s="95"/>
      <c r="AY221" s="95"/>
      <c r="BA221" s="3"/>
    </row>
    <row r="222" spans="1:72" ht="13" customHeight="1">
      <c r="A222" s="1487" t="s">
        <v>548</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95"/>
      <c r="AV222" s="95"/>
      <c r="AW222" s="95"/>
      <c r="AX222" s="95"/>
      <c r="AY222" s="95"/>
      <c r="AZ222" s="3"/>
      <c r="BA222" s="3"/>
      <c r="BP222" s="34"/>
    </row>
    <row r="223" spans="1:72" ht="13"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67" t="s">
        <v>599</v>
      </c>
      <c r="AJ226" s="1467"/>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67" t="s">
        <v>553</v>
      </c>
      <c r="AJ227" s="146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67" t="s">
        <v>599</v>
      </c>
      <c r="AJ228" s="146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67" t="s">
        <v>599</v>
      </c>
      <c r="AJ229" s="1467"/>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13" t="str">
        <f>H16</f>
        <v>Butterfly's Haven</v>
      </c>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65" t="s">
        <v>2682</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3" customHeight="1">
      <c r="D234" s="4" t="s">
        <v>588</v>
      </c>
      <c r="E234" s="4"/>
      <c r="M234" s="1465" t="s">
        <v>2683</v>
      </c>
      <c r="N234" s="1466"/>
      <c r="O234" s="1466"/>
      <c r="P234" s="1466"/>
      <c r="Q234" s="1466"/>
      <c r="R234" s="1466"/>
      <c r="S234" s="1466"/>
      <c r="T234" s="1466"/>
      <c r="V234" s="33" t="s">
        <v>86</v>
      </c>
      <c r="W234" s="1698" t="s">
        <v>2644</v>
      </c>
      <c r="X234" s="1476"/>
      <c r="Y234" s="4" t="s">
        <v>591</v>
      </c>
      <c r="AC234" s="1466">
        <v>90212</v>
      </c>
      <c r="AD234" s="1466"/>
      <c r="AE234" s="1466"/>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65" t="s">
        <v>2645</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3" customHeight="1">
      <c r="D236" s="4" t="s">
        <v>88</v>
      </c>
      <c r="E236" s="4"/>
      <c r="F236" s="4"/>
      <c r="M236" s="1473" t="s">
        <v>2646</v>
      </c>
      <c r="N236" s="1474"/>
      <c r="O236" s="1474"/>
      <c r="P236" s="1474"/>
      <c r="Q236" s="1474"/>
      <c r="R236" s="1474"/>
      <c r="S236" s="4" t="s">
        <v>206</v>
      </c>
      <c r="T236" s="4"/>
      <c r="U236" s="1476"/>
      <c r="V236" s="1476"/>
      <c r="W236" s="1476"/>
      <c r="X236" s="4" t="s">
        <v>89</v>
      </c>
      <c r="Z236" s="1474"/>
      <c r="AA236" s="1474"/>
      <c r="AB236" s="1474"/>
      <c r="AC236" s="1474"/>
      <c r="AD236" s="1474"/>
      <c r="AE236" s="1474"/>
      <c r="AU236" s="4"/>
      <c r="AV236" s="4"/>
      <c r="AW236" s="4"/>
      <c r="AX236" s="4"/>
      <c r="AY236" s="4"/>
      <c r="AZ236" s="4"/>
      <c r="BB236" s="218" t="s">
        <v>545</v>
      </c>
      <c r="BG236" s="259">
        <f>IF(AND(AND($M$249="nonprofit",$M$257="nonprofit",$M$265="(select one)")),1,0)</f>
        <v>0</v>
      </c>
    </row>
    <row r="237" spans="1:69" ht="13" customHeight="1">
      <c r="D237" s="4" t="s">
        <v>90</v>
      </c>
      <c r="E237" s="4"/>
      <c r="F237" s="4"/>
      <c r="M237" s="1784" t="s">
        <v>2647</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71" t="s">
        <v>377</v>
      </c>
      <c r="N238" s="1471"/>
      <c r="O238" s="1471"/>
      <c r="P238" s="1471"/>
      <c r="Q238" s="1471"/>
      <c r="R238" s="1471"/>
      <c r="S238" s="1471"/>
      <c r="T238" s="1471"/>
      <c r="U238" s="218" t="s">
        <v>921</v>
      </c>
      <c r="V238" s="218"/>
      <c r="W238" s="218"/>
      <c r="X238" s="218"/>
      <c r="Y238" s="218"/>
      <c r="Z238" s="218"/>
      <c r="AA238" s="1802"/>
      <c r="AB238" s="1802"/>
      <c r="AC238" s="1802"/>
      <c r="AD238" s="1802"/>
      <c r="AE238" s="1802"/>
      <c r="AF238" s="1802"/>
      <c r="AG238" s="1802"/>
      <c r="AH238" s="1802"/>
      <c r="AI238" s="1802"/>
      <c r="AJ238" s="1802"/>
      <c r="AK238" s="1802"/>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 customHeight="1">
      <c r="D239" t="s">
        <v>539</v>
      </c>
      <c r="M239" s="1475"/>
      <c r="N239" s="1475"/>
      <c r="O239" s="1475"/>
      <c r="P239" s="1475"/>
      <c r="Q239" s="1475"/>
      <c r="R239" s="1475"/>
      <c r="S239" s="1475"/>
      <c r="T239" s="1475"/>
      <c r="U239" s="1475"/>
      <c r="V239" s="1475"/>
      <c r="W239" s="1475"/>
      <c r="X239" s="1475"/>
      <c r="Y239" s="1475"/>
      <c r="Z239" s="1475"/>
      <c r="AA239" s="1475"/>
      <c r="AB239" s="1475"/>
      <c r="AC239" s="1475"/>
      <c r="AD239" s="1475"/>
      <c r="AE239" s="147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9" t="s">
        <v>2642</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2648</v>
      </c>
      <c r="AG243" s="1790"/>
      <c r="AH243" s="1790"/>
      <c r="AI243" s="1790"/>
      <c r="AJ243" s="1790"/>
      <c r="AK243" s="1790"/>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466" t="str">
        <f>M233</f>
        <v>9350 Wilshire Blvd, Suite 203</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65" t="str">
        <f>M234</f>
        <v>Beverly Hills</v>
      </c>
      <c r="N245" s="1466"/>
      <c r="O245" s="1466"/>
      <c r="P245" s="1466"/>
      <c r="Q245" s="1466"/>
      <c r="R245" s="1466"/>
      <c r="S245" s="1466"/>
      <c r="T245" s="1466"/>
      <c r="V245" s="33" t="s">
        <v>86</v>
      </c>
      <c r="W245" s="1698" t="s">
        <v>2644</v>
      </c>
      <c r="X245" s="1476"/>
      <c r="Y245" s="4" t="s">
        <v>591</v>
      </c>
      <c r="AC245" s="1466">
        <f>AC234</f>
        <v>90212</v>
      </c>
      <c r="AD245" s="1466"/>
      <c r="AE245" s="1466"/>
      <c r="AF245" s="3" t="s">
        <v>1286</v>
      </c>
      <c r="AU245" s="4"/>
      <c r="AV245" s="4"/>
      <c r="AW245" s="4"/>
      <c r="AX245" s="4"/>
      <c r="AY245" s="4"/>
      <c r="BB245" s="4" t="s">
        <v>280</v>
      </c>
      <c r="BG245">
        <v>2</v>
      </c>
      <c r="BH245" t="s">
        <v>574</v>
      </c>
      <c r="BO245" s="257" t="str">
        <f>VLOOKUP(BG243,BG244:BH247,2,FALSE)</f>
        <v>Nonprofit</v>
      </c>
    </row>
    <row r="246" spans="1:71" ht="13" customHeight="1">
      <c r="A246" s="19"/>
      <c r="B246" s="4"/>
      <c r="C246" s="4"/>
      <c r="D246" s="4" t="s">
        <v>87</v>
      </c>
      <c r="E246" s="4"/>
      <c r="F246" s="4"/>
      <c r="G246" s="4"/>
      <c r="H246" s="4"/>
      <c r="I246" s="4"/>
      <c r="J246" s="4"/>
      <c r="K246" s="4"/>
      <c r="L246" s="19"/>
      <c r="M246" s="1466" t="str">
        <f>M235</f>
        <v>Brittany Walker</v>
      </c>
      <c r="N246" s="1466"/>
      <c r="O246" s="1466"/>
      <c r="P246" s="1466"/>
      <c r="Q246" s="1466"/>
      <c r="R246" s="1466"/>
      <c r="S246" s="1466"/>
      <c r="T246" s="1466"/>
      <c r="U246" s="1466"/>
      <c r="V246" s="1466"/>
      <c r="W246" s="1466"/>
      <c r="X246" s="1466"/>
      <c r="Y246" s="1466"/>
      <c r="Z246" s="1466"/>
      <c r="AA246" s="1466"/>
      <c r="AB246" s="1466"/>
      <c r="AC246" s="1466"/>
      <c r="AD246" s="1466"/>
      <c r="AE246" s="1466"/>
      <c r="AH246" s="1799">
        <v>100</v>
      </c>
      <c r="AI246" s="1799"/>
      <c r="AJ246" s="1799"/>
      <c r="AK246" s="1799"/>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74" t="str">
        <f>M236</f>
        <v>323-967-1164</v>
      </c>
      <c r="N247" s="1474"/>
      <c r="O247" s="1474"/>
      <c r="P247" s="1474"/>
      <c r="Q247" s="1474"/>
      <c r="R247" s="1474"/>
      <c r="S247" s="4" t="s">
        <v>206</v>
      </c>
      <c r="T247" s="4"/>
      <c r="U247" s="1476"/>
      <c r="V247" s="1476"/>
      <c r="W247" s="1476"/>
      <c r="X247" s="4" t="s">
        <v>89</v>
      </c>
      <c r="Z247" s="1474"/>
      <c r="AA247" s="1474"/>
      <c r="AB247" s="1474"/>
      <c r="AC247" s="1474"/>
      <c r="AD247" s="1474"/>
      <c r="AE247" s="1474"/>
      <c r="AU247" s="4"/>
      <c r="AV247" s="4"/>
      <c r="AW247" s="4"/>
      <c r="AX247" s="4"/>
      <c r="AY247" s="4"/>
      <c r="BG247">
        <v>0</v>
      </c>
      <c r="BH247" s="3"/>
      <c r="BN247" s="34"/>
    </row>
    <row r="248" spans="1:71" ht="13" customHeight="1">
      <c r="A248" s="19"/>
      <c r="B248" s="4"/>
      <c r="C248" s="4"/>
      <c r="D248" s="4" t="s">
        <v>90</v>
      </c>
      <c r="E248" s="4"/>
      <c r="F248" s="4"/>
      <c r="M248" s="1784" t="str">
        <f>M237</f>
        <v>bwalker@butterflyshaven.org</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71" t="s">
        <v>542</v>
      </c>
      <c r="N249" s="1471"/>
      <c r="O249" s="1471"/>
      <c r="P249" s="1471"/>
      <c r="Q249" s="1471"/>
      <c r="R249" s="1471"/>
      <c r="S249" s="1471"/>
      <c r="T249" s="1471"/>
      <c r="U249" s="218" t="s">
        <v>921</v>
      </c>
      <c r="V249" s="218"/>
      <c r="W249" s="218"/>
      <c r="X249" s="218"/>
      <c r="Y249" s="218"/>
      <c r="Z249" s="218"/>
      <c r="AA249" s="1802"/>
      <c r="AB249" s="1802"/>
      <c r="AC249" s="1802"/>
      <c r="AD249" s="1802"/>
      <c r="AE249" s="1802"/>
      <c r="AF249" s="1802"/>
      <c r="AG249" s="1802"/>
      <c r="AH249" s="1802"/>
      <c r="AI249" s="1802"/>
      <c r="AJ249" s="1802"/>
      <c r="AK249" s="180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90"/>
      <c r="N251" s="1790"/>
      <c r="O251" s="1790"/>
      <c r="P251" s="1790"/>
      <c r="Q251" s="1790"/>
      <c r="R251" s="1790"/>
      <c r="S251" s="1790"/>
      <c r="T251" s="1790"/>
      <c r="U251" s="1790"/>
      <c r="V251" s="1790"/>
      <c r="W251" s="1790"/>
      <c r="X251" s="1790"/>
      <c r="Y251" s="1790"/>
      <c r="Z251" s="1790"/>
      <c r="AA251" s="1790"/>
      <c r="AB251" s="1790"/>
      <c r="AC251" s="1790"/>
      <c r="AD251" s="1790"/>
      <c r="AE251" s="1790"/>
      <c r="AF251" s="1790" t="s">
        <v>2649</v>
      </c>
      <c r="AG251" s="1790"/>
      <c r="AH251" s="1790"/>
      <c r="AI251" s="1790"/>
      <c r="AJ251" s="1790"/>
      <c r="AK251" s="1790"/>
      <c r="AU251" s="4"/>
      <c r="AV251" s="4"/>
      <c r="AW251" s="4"/>
      <c r="AX251" s="4"/>
      <c r="AY251" s="4"/>
      <c r="BN251" s="34"/>
    </row>
    <row r="252" spans="1:71" ht="13" customHeight="1">
      <c r="A252" s="19"/>
      <c r="B252" s="4"/>
      <c r="C252" s="4"/>
      <c r="D252" s="4" t="s">
        <v>85</v>
      </c>
      <c r="E252" s="4"/>
      <c r="F252" s="4"/>
      <c r="G252" s="4"/>
      <c r="H252" s="4"/>
      <c r="I252" s="4"/>
      <c r="J252" s="4"/>
      <c r="K252" s="4"/>
      <c r="L252" s="4"/>
      <c r="M252" s="1466"/>
      <c r="N252" s="1466"/>
      <c r="O252" s="1466"/>
      <c r="P252" s="1466"/>
      <c r="Q252" s="1466"/>
      <c r="R252" s="1466"/>
      <c r="S252" s="1466"/>
      <c r="T252" s="1466"/>
      <c r="U252" s="1466"/>
      <c r="V252" s="1466"/>
      <c r="W252" s="1466"/>
      <c r="X252" s="1466"/>
      <c r="Y252" s="1466"/>
      <c r="Z252" s="1466"/>
      <c r="AA252" s="1466"/>
      <c r="AB252" s="1466"/>
      <c r="AC252" s="1466"/>
      <c r="AD252" s="1466"/>
      <c r="AE252" s="1466"/>
      <c r="AF252" s="3" t="s">
        <v>1285</v>
      </c>
      <c r="AL252" s="4"/>
      <c r="AM252" s="4"/>
      <c r="AN252" s="4"/>
      <c r="AO252" s="4"/>
      <c r="AP252" s="4"/>
      <c r="AQ252" s="4"/>
      <c r="AR252" s="4"/>
      <c r="AS252" s="4"/>
      <c r="AT252" s="4"/>
      <c r="BN252" s="34"/>
    </row>
    <row r="253" spans="1:71" ht="13" customHeight="1">
      <c r="A253" s="19"/>
      <c r="B253" s="4"/>
      <c r="C253" s="4"/>
      <c r="D253" s="4" t="s">
        <v>588</v>
      </c>
      <c r="E253" s="4"/>
      <c r="M253" s="1466"/>
      <c r="N253" s="1466"/>
      <c r="O253" s="1466"/>
      <c r="P253" s="1466"/>
      <c r="Q253" s="1466"/>
      <c r="R253" s="1466"/>
      <c r="S253" s="1466"/>
      <c r="T253" s="1466"/>
      <c r="V253" s="33" t="s">
        <v>86</v>
      </c>
      <c r="W253" s="1476"/>
      <c r="X253" s="1476"/>
      <c r="Y253" s="4" t="s">
        <v>591</v>
      </c>
      <c r="AC253" s="1466"/>
      <c r="AD253" s="1466"/>
      <c r="AE253" s="1466"/>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66"/>
      <c r="N254" s="1466"/>
      <c r="O254" s="1466"/>
      <c r="P254" s="1466"/>
      <c r="Q254" s="1466"/>
      <c r="R254" s="1466"/>
      <c r="S254" s="1466"/>
      <c r="T254" s="1466"/>
      <c r="U254" s="1466"/>
      <c r="V254" s="1466"/>
      <c r="W254" s="1466"/>
      <c r="X254" s="1466"/>
      <c r="Y254" s="1466"/>
      <c r="Z254" s="1466"/>
      <c r="AA254" s="1466"/>
      <c r="AB254" s="1466"/>
      <c r="AC254" s="1466"/>
      <c r="AD254" s="1466"/>
      <c r="AE254" s="1466"/>
      <c r="AH254" s="1799"/>
      <c r="AI254" s="1799"/>
      <c r="AJ254" s="1799"/>
      <c r="AK254" s="1799"/>
      <c r="AL254" s="4"/>
      <c r="AM254" s="4"/>
      <c r="AN254" s="4"/>
      <c r="AO254" s="4"/>
      <c r="AP254" s="4"/>
      <c r="AQ254" s="4"/>
      <c r="AR254" s="4"/>
      <c r="AS254" s="4"/>
      <c r="AT254" s="4"/>
    </row>
    <row r="255" spans="1:71" ht="13" customHeight="1">
      <c r="A255" s="19"/>
      <c r="B255" s="4"/>
      <c r="C255" s="4"/>
      <c r="D255" s="4" t="s">
        <v>88</v>
      </c>
      <c r="E255" s="4"/>
      <c r="F255" s="4"/>
      <c r="M255" s="1474"/>
      <c r="N255" s="1474"/>
      <c r="O255" s="1474"/>
      <c r="P255" s="1474"/>
      <c r="Q255" s="1474"/>
      <c r="R255" s="1474"/>
      <c r="S255" s="4" t="s">
        <v>206</v>
      </c>
      <c r="T255" s="4"/>
      <c r="U255" s="1476"/>
      <c r="V255" s="1476"/>
      <c r="W255" s="1476"/>
      <c r="X255" s="4" t="s">
        <v>89</v>
      </c>
      <c r="Z255" s="1474"/>
      <c r="AA255" s="1474"/>
      <c r="AB255" s="1474"/>
      <c r="AC255" s="1474"/>
      <c r="AD255" s="1474"/>
      <c r="AE255" s="1474"/>
      <c r="AU255" s="4"/>
      <c r="AV255" s="4"/>
      <c r="AW255" s="4"/>
      <c r="AX255" s="4"/>
      <c r="AY255" s="4"/>
      <c r="BN255" s="34"/>
    </row>
    <row r="256" spans="1:71" ht="13"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71" t="s">
        <v>307</v>
      </c>
      <c r="N257" s="1471"/>
      <c r="O257" s="1471"/>
      <c r="P257" s="1471"/>
      <c r="Q257" s="1471"/>
      <c r="R257" s="1471"/>
      <c r="S257" s="1471"/>
      <c r="T257" s="1471"/>
      <c r="U257" s="218" t="s">
        <v>921</v>
      </c>
      <c r="V257" s="218"/>
      <c r="W257" s="218"/>
      <c r="X257" s="218"/>
      <c r="Y257" s="218"/>
      <c r="Z257" s="218"/>
      <c r="AA257" s="1802"/>
      <c r="AB257" s="1802"/>
      <c r="AC257" s="1802"/>
      <c r="AD257" s="1802"/>
      <c r="AE257" s="1802"/>
      <c r="AF257" s="1802"/>
      <c r="AG257" s="1802"/>
      <c r="AH257" s="1802"/>
      <c r="AI257" s="1802"/>
      <c r="AJ257" s="1802"/>
      <c r="AK257" s="180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307</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66"/>
      <c r="N261" s="1466"/>
      <c r="O261" s="1466"/>
      <c r="P261" s="1466"/>
      <c r="Q261" s="1466"/>
      <c r="R261" s="1466"/>
      <c r="S261" s="1466"/>
      <c r="T261" s="1466"/>
      <c r="V261" s="33" t="s">
        <v>86</v>
      </c>
      <c r="W261" s="1476"/>
      <c r="X261" s="1476"/>
      <c r="Y261" s="4" t="s">
        <v>591</v>
      </c>
      <c r="AC261" s="1466"/>
      <c r="AD261" s="1466"/>
      <c r="AE261" s="1466"/>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799"/>
      <c r="AI262" s="1799"/>
      <c r="AJ262" s="1799"/>
      <c r="AK262" s="1799"/>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74"/>
      <c r="N263" s="1474"/>
      <c r="O263" s="1474"/>
      <c r="P263" s="1474"/>
      <c r="Q263" s="1474"/>
      <c r="R263" s="1474"/>
      <c r="S263" s="4" t="s">
        <v>206</v>
      </c>
      <c r="T263" s="4"/>
      <c r="U263" s="1476"/>
      <c r="V263" s="1476"/>
      <c r="W263" s="1476"/>
      <c r="X263" s="4" t="s">
        <v>89</v>
      </c>
      <c r="Z263" s="1474"/>
      <c r="AA263" s="1474"/>
      <c r="AB263" s="1474"/>
      <c r="AC263" s="1474"/>
      <c r="AD263" s="1474"/>
      <c r="AE263" s="147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16"/>
      <c r="AB264" s="1816"/>
      <c r="AC264" s="1816"/>
      <c r="AD264" s="1816"/>
      <c r="AE264" s="1816"/>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71" t="s">
        <v>307</v>
      </c>
      <c r="N265" s="1471"/>
      <c r="O265" s="1471"/>
      <c r="P265" s="1471"/>
      <c r="Q265" s="1471"/>
      <c r="R265" s="1471"/>
      <c r="S265" s="1471"/>
      <c r="T265" s="1471"/>
      <c r="U265" s="218" t="s">
        <v>921</v>
      </c>
      <c r="V265" s="218"/>
      <c r="W265" s="218"/>
      <c r="X265" s="218"/>
      <c r="Y265" s="218"/>
      <c r="Z265" s="218"/>
      <c r="AA265" s="1814"/>
      <c r="AB265" s="1814"/>
      <c r="AC265" s="1814"/>
      <c r="AD265" s="1814"/>
      <c r="AE265" s="1814"/>
      <c r="AF265" s="1814"/>
      <c r="AG265" s="1814"/>
      <c r="AH265" s="1814"/>
      <c r="AI265" s="1814"/>
      <c r="AJ265" s="1814"/>
      <c r="AK265" s="181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15" t="str">
        <f>IFERROR(BO245,"")</f>
        <v>Nonprofit</v>
      </c>
      <c r="U267" s="1815"/>
      <c r="V267" s="1815"/>
      <c r="W267" s="1815"/>
      <c r="X267" s="1815"/>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66" t="s">
        <v>172</v>
      </c>
      <c r="E270" s="1466"/>
      <c r="F270" s="1466"/>
      <c r="G270" s="1466"/>
      <c r="H270" s="1466"/>
      <c r="J270" t="s">
        <v>279</v>
      </c>
      <c r="X270" s="1516">
        <v>45672</v>
      </c>
      <c r="Y270" s="1516"/>
      <c r="Z270" s="1516"/>
      <c r="AA270" s="1516"/>
      <c r="AB270" s="1516"/>
      <c r="AC270" s="1516"/>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89" t="s">
        <v>2650</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65" t="s">
        <v>2651</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3" customHeight="1">
      <c r="D276" s="4" t="s">
        <v>588</v>
      </c>
      <c r="E276" s="4"/>
      <c r="L276" s="1465" t="s">
        <v>502</v>
      </c>
      <c r="M276" s="1466"/>
      <c r="N276" s="1466"/>
      <c r="O276" s="1466"/>
      <c r="P276" s="1466"/>
      <c r="Q276" s="1466"/>
      <c r="R276" s="1466"/>
      <c r="S276" s="1466"/>
      <c r="U276" s="33" t="s">
        <v>86</v>
      </c>
      <c r="V276" s="1698" t="s">
        <v>2644</v>
      </c>
      <c r="W276" s="1476"/>
      <c r="X276" s="4" t="s">
        <v>591</v>
      </c>
      <c r="AB276" s="1466">
        <v>90049</v>
      </c>
      <c r="AC276" s="1466"/>
      <c r="AD276" s="1466"/>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65" t="s">
        <v>2652</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3" customHeight="1">
      <c r="D278" s="4" t="s">
        <v>88</v>
      </c>
      <c r="E278" s="4"/>
      <c r="F278" s="4"/>
      <c r="L278" s="1473" t="s">
        <v>2653</v>
      </c>
      <c r="M278" s="1474"/>
      <c r="N278" s="1474"/>
      <c r="O278" s="1474"/>
      <c r="P278" s="1474"/>
      <c r="Q278" s="1474"/>
      <c r="R278" s="4" t="s">
        <v>206</v>
      </c>
      <c r="S278" s="4"/>
      <c r="T278" s="1476"/>
      <c r="U278" s="1476"/>
      <c r="V278" s="1476"/>
      <c r="W278" s="4" t="s">
        <v>89</v>
      </c>
      <c r="Y278" s="1474"/>
      <c r="Z278" s="1474"/>
      <c r="AA278" s="1474"/>
      <c r="AB278" s="1474"/>
      <c r="AC278" s="1474"/>
      <c r="AD278" s="1474"/>
      <c r="BN278" s="34"/>
    </row>
    <row r="279" spans="1:66" ht="13" customHeight="1">
      <c r="D279" s="4" t="s">
        <v>90</v>
      </c>
      <c r="E279" s="4"/>
      <c r="F279" s="4"/>
      <c r="L279" s="1784" t="s">
        <v>2654</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c r="BN279" s="34"/>
    </row>
    <row r="280" spans="1:66" ht="13" customHeight="1">
      <c r="D280" s="3" t="s">
        <v>631</v>
      </c>
      <c r="E280" s="3"/>
      <c r="F280" s="3"/>
      <c r="G280" s="3"/>
      <c r="H280" s="3"/>
      <c r="I280" s="3"/>
      <c r="L280" s="1698" t="s">
        <v>2655</v>
      </c>
      <c r="M280" s="1698"/>
      <c r="N280" s="1698"/>
      <c r="O280" s="1698"/>
      <c r="P280" s="1698"/>
      <c r="Q280" s="1698"/>
      <c r="R280" s="1698"/>
      <c r="S280" s="1698"/>
      <c r="T280" s="1698"/>
      <c r="U280" s="1698"/>
      <c r="V280" s="1698"/>
      <c r="W280" s="1698"/>
      <c r="X280" s="1698"/>
      <c r="Y280" s="1698"/>
      <c r="Z280" s="1698"/>
      <c r="AA280" s="1698"/>
      <c r="AB280" s="1698"/>
      <c r="AC280" s="1698"/>
      <c r="AD280" s="1698"/>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87" t="s">
        <v>549</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95"/>
      <c r="AV282" s="95"/>
      <c r="AW282" s="95"/>
      <c r="AX282" s="95"/>
      <c r="AY282" s="95"/>
      <c r="BN282" s="34"/>
    </row>
    <row r="283" spans="1:66" ht="13"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65" t="s">
        <v>2642</v>
      </c>
      <c r="I287" s="1475"/>
      <c r="J287" s="1475"/>
      <c r="K287" s="1475"/>
      <c r="L287" s="1475"/>
      <c r="M287" s="1475"/>
      <c r="N287" s="1475"/>
      <c r="O287" s="1475"/>
      <c r="P287" s="1475"/>
      <c r="Q287" s="1475"/>
      <c r="R287" s="1475"/>
      <c r="T287" s="3" t="s">
        <v>575</v>
      </c>
      <c r="V287" s="3"/>
      <c r="W287" s="3"/>
      <c r="X287" s="3"/>
      <c r="Y287" s="3"/>
      <c r="AA287" s="1475" t="s">
        <v>2695</v>
      </c>
      <c r="AB287" s="1475"/>
      <c r="AC287" s="1475"/>
      <c r="AD287" s="1475"/>
      <c r="AE287" s="1475"/>
      <c r="AF287" s="1475"/>
      <c r="AG287" s="1475"/>
      <c r="AH287" s="1475"/>
      <c r="AI287" s="1475"/>
      <c r="AJ287" s="1475"/>
      <c r="AK287" s="1475"/>
      <c r="BN287" s="34"/>
    </row>
    <row r="288" spans="1:66" ht="13" customHeight="1">
      <c r="B288" s="3" t="s">
        <v>479</v>
      </c>
      <c r="C288" s="3"/>
      <c r="D288" s="3"/>
      <c r="E288" s="3"/>
      <c r="F288" s="3"/>
      <c r="H288" s="1471" t="str">
        <f>M233</f>
        <v>9350 Wilshire Blvd, Suite 203</v>
      </c>
      <c r="I288" s="1471"/>
      <c r="J288" s="1471"/>
      <c r="K288" s="1471"/>
      <c r="L288" s="1471"/>
      <c r="M288" s="1471"/>
      <c r="N288" s="1471"/>
      <c r="O288" s="1471"/>
      <c r="P288" s="1471"/>
      <c r="Q288" s="1471"/>
      <c r="R288" s="1471"/>
      <c r="T288" s="3" t="s">
        <v>479</v>
      </c>
      <c r="V288" s="3"/>
      <c r="W288" s="3"/>
      <c r="X288" s="3"/>
      <c r="Y288" s="3"/>
      <c r="AA288" s="1471" t="s">
        <v>2696</v>
      </c>
      <c r="AB288" s="1471"/>
      <c r="AC288" s="1471"/>
      <c r="AD288" s="1471"/>
      <c r="AE288" s="1471"/>
      <c r="AF288" s="1471"/>
      <c r="AG288" s="1471"/>
      <c r="AH288" s="1471"/>
      <c r="AI288" s="1471"/>
      <c r="AJ288" s="1471"/>
      <c r="AK288" s="1471"/>
      <c r="BN288" s="34"/>
    </row>
    <row r="289" spans="2:66" ht="13" customHeight="1">
      <c r="B289" s="3" t="s">
        <v>480</v>
      </c>
      <c r="C289" s="3"/>
      <c r="D289" s="3"/>
      <c r="E289" s="3"/>
      <c r="F289" s="3"/>
      <c r="H289" s="1471" t="s">
        <v>2694</v>
      </c>
      <c r="I289" s="1471"/>
      <c r="J289" s="1471"/>
      <c r="K289" s="1471"/>
      <c r="L289" s="1471"/>
      <c r="M289" s="1471"/>
      <c r="N289" s="1471"/>
      <c r="O289" s="1471"/>
      <c r="P289" s="1471"/>
      <c r="Q289" s="1471"/>
      <c r="R289" s="1471"/>
      <c r="T289" s="3" t="s">
        <v>75</v>
      </c>
      <c r="V289" s="3"/>
      <c r="W289" s="3"/>
      <c r="X289" s="3"/>
      <c r="Y289" s="3"/>
      <c r="AA289" s="1471" t="s">
        <v>2697</v>
      </c>
      <c r="AB289" s="1471"/>
      <c r="AC289" s="1471"/>
      <c r="AD289" s="1471"/>
      <c r="AE289" s="1471"/>
      <c r="AF289" s="1471"/>
      <c r="AG289" s="1471"/>
      <c r="AH289" s="1471"/>
      <c r="AI289" s="1471"/>
      <c r="AJ289" s="1471"/>
      <c r="AK289" s="1471"/>
      <c r="BN289" s="34"/>
    </row>
    <row r="290" spans="2:66" ht="13" customHeight="1">
      <c r="B290" s="3" t="s">
        <v>87</v>
      </c>
      <c r="C290" s="3"/>
      <c r="D290" s="3"/>
      <c r="E290" s="3"/>
      <c r="F290" s="3"/>
      <c r="H290" s="1471" t="s">
        <v>2645</v>
      </c>
      <c r="I290" s="1471"/>
      <c r="J290" s="1471"/>
      <c r="K290" s="1471"/>
      <c r="L290" s="1471"/>
      <c r="M290" s="1471"/>
      <c r="N290" s="1471"/>
      <c r="O290" s="1471"/>
      <c r="P290" s="1471"/>
      <c r="Q290" s="1471"/>
      <c r="R290" s="1471"/>
      <c r="T290" s="3" t="s">
        <v>87</v>
      </c>
      <c r="V290" s="3"/>
      <c r="W290" s="3"/>
      <c r="X290" s="3"/>
      <c r="Y290" s="3"/>
      <c r="AA290" s="1471" t="s">
        <v>2698</v>
      </c>
      <c r="AB290" s="1471"/>
      <c r="AC290" s="1471"/>
      <c r="AD290" s="1471"/>
      <c r="AE290" s="1471"/>
      <c r="AF290" s="1471"/>
      <c r="AG290" s="1471"/>
      <c r="AH290" s="1471"/>
      <c r="AI290" s="1471"/>
      <c r="AJ290" s="1471"/>
      <c r="AK290" s="1471"/>
      <c r="BN290" s="34"/>
    </row>
    <row r="291" spans="2:66" ht="13" customHeight="1">
      <c r="B291" s="3" t="s">
        <v>88</v>
      </c>
      <c r="C291" s="3"/>
      <c r="D291" s="3"/>
      <c r="E291" s="3"/>
      <c r="F291" s="3"/>
      <c r="G291" s="3"/>
      <c r="H291" s="1714" t="str">
        <f>M247</f>
        <v>323-967-1164</v>
      </c>
      <c r="I291" s="1714"/>
      <c r="J291" s="1714"/>
      <c r="K291" s="1714"/>
      <c r="L291" s="1714"/>
      <c r="M291" s="1714"/>
      <c r="N291" s="4" t="s">
        <v>206</v>
      </c>
      <c r="O291" s="4"/>
      <c r="P291" s="1466"/>
      <c r="Q291" s="1466"/>
      <c r="R291" s="1466"/>
      <c r="S291" s="3"/>
      <c r="T291" s="3" t="s">
        <v>88</v>
      </c>
      <c r="V291" s="3"/>
      <c r="W291" s="3"/>
      <c r="X291" s="3"/>
      <c r="Y291" s="3"/>
      <c r="AA291" s="1779" t="s">
        <v>2699</v>
      </c>
      <c r="AB291" s="1714"/>
      <c r="AC291" s="1714"/>
      <c r="AD291" s="1714"/>
      <c r="AE291" s="1714"/>
      <c r="AF291" s="1714"/>
      <c r="AG291" s="4" t="s">
        <v>206</v>
      </c>
      <c r="AH291" s="4"/>
      <c r="AI291" s="1466"/>
      <c r="AJ291" s="1466"/>
      <c r="AK291" s="1466"/>
      <c r="BN291" s="34"/>
    </row>
    <row r="292" spans="2:66" ht="13" customHeight="1">
      <c r="B292" s="3" t="s">
        <v>89</v>
      </c>
      <c r="C292" s="3"/>
      <c r="D292" s="3"/>
      <c r="E292" s="3"/>
      <c r="F292" s="3"/>
      <c r="G292" s="3"/>
      <c r="H292" s="1474"/>
      <c r="I292" s="1474"/>
      <c r="J292" s="1474"/>
      <c r="K292" s="1474"/>
      <c r="L292" s="1474"/>
      <c r="M292" s="1474"/>
      <c r="N292" s="4"/>
      <c r="O292" s="4"/>
      <c r="P292" s="35"/>
      <c r="Q292" s="35"/>
      <c r="R292" s="35"/>
      <c r="S292" s="3"/>
      <c r="T292" s="3" t="s">
        <v>89</v>
      </c>
      <c r="V292" s="3"/>
      <c r="W292" s="3"/>
      <c r="X292" s="3"/>
      <c r="Y292" s="3"/>
      <c r="AA292" s="1474"/>
      <c r="AB292" s="1474"/>
      <c r="AC292" s="1474"/>
      <c r="AD292" s="1474"/>
      <c r="AE292" s="1474"/>
      <c r="AF292" s="1474"/>
      <c r="AG292" s="4"/>
      <c r="AH292" s="4"/>
      <c r="AI292" s="35"/>
      <c r="AJ292" s="35"/>
      <c r="AK292" s="35"/>
      <c r="BN292" s="34"/>
    </row>
    <row r="293" spans="2:66" ht="13" customHeight="1">
      <c r="B293" s="3" t="s">
        <v>76</v>
      </c>
      <c r="C293" s="3"/>
      <c r="D293" s="3"/>
      <c r="E293" s="3"/>
      <c r="F293" s="3"/>
      <c r="G293" s="3"/>
      <c r="H293" s="1471" t="str">
        <f>M237</f>
        <v>bwalker@butterflyshaven.org</v>
      </c>
      <c r="I293" s="1471"/>
      <c r="J293" s="1471"/>
      <c r="K293" s="1471"/>
      <c r="L293" s="1471"/>
      <c r="M293" s="1471"/>
      <c r="N293" s="1475"/>
      <c r="O293" s="1475"/>
      <c r="P293" s="1475"/>
      <c r="Q293" s="1475"/>
      <c r="R293" s="1475"/>
      <c r="S293" s="3"/>
      <c r="T293" s="3" t="s">
        <v>76</v>
      </c>
      <c r="V293" s="3"/>
      <c r="W293" s="3"/>
      <c r="X293" s="3"/>
      <c r="Y293" s="3"/>
      <c r="AA293" s="1471" t="s">
        <v>2700</v>
      </c>
      <c r="AB293" s="1471"/>
      <c r="AC293" s="1471"/>
      <c r="AD293" s="1471"/>
      <c r="AE293" s="1471"/>
      <c r="AF293" s="1471"/>
      <c r="AG293" s="1475"/>
      <c r="AH293" s="1475"/>
      <c r="AI293" s="1475"/>
      <c r="AJ293" s="1475"/>
      <c r="AK293" s="147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75" t="s">
        <v>2701</v>
      </c>
      <c r="I295" s="1475"/>
      <c r="J295" s="1475"/>
      <c r="K295" s="1475"/>
      <c r="L295" s="1475"/>
      <c r="M295" s="1475"/>
      <c r="N295" s="1475"/>
      <c r="O295" s="1475"/>
      <c r="P295" s="1475"/>
      <c r="Q295" s="1475"/>
      <c r="R295" s="1475"/>
      <c r="T295" s="3" t="s">
        <v>364</v>
      </c>
      <c r="V295" s="3"/>
      <c r="W295" s="3"/>
      <c r="X295" s="3"/>
      <c r="Y295" s="3"/>
      <c r="AA295" s="1475"/>
      <c r="AB295" s="1475"/>
      <c r="AC295" s="1475"/>
      <c r="AD295" s="1475"/>
      <c r="AE295" s="1475"/>
      <c r="AF295" s="1475"/>
      <c r="AG295" s="1475"/>
      <c r="AH295" s="1475"/>
      <c r="AI295" s="1475"/>
      <c r="AJ295" s="1475"/>
      <c r="AK295" s="1475"/>
      <c r="BN295" s="34"/>
    </row>
    <row r="296" spans="2:66" ht="13" customHeight="1">
      <c r="B296" s="3" t="s">
        <v>479</v>
      </c>
      <c r="C296" s="3"/>
      <c r="D296" s="3"/>
      <c r="E296" s="3"/>
      <c r="F296" s="3"/>
      <c r="H296" s="1471" t="s">
        <v>2702</v>
      </c>
      <c r="I296" s="1471"/>
      <c r="J296" s="1471"/>
      <c r="K296" s="1471"/>
      <c r="L296" s="1471"/>
      <c r="M296" s="1471"/>
      <c r="N296" s="1471"/>
      <c r="O296" s="1471"/>
      <c r="P296" s="1471"/>
      <c r="Q296" s="1471"/>
      <c r="R296" s="1471"/>
      <c r="T296" s="3" t="s">
        <v>479</v>
      </c>
      <c r="V296" s="3"/>
      <c r="W296" s="3"/>
      <c r="X296" s="3"/>
      <c r="Y296" s="3"/>
      <c r="AA296" s="1471"/>
      <c r="AB296" s="1471"/>
      <c r="AC296" s="1471"/>
      <c r="AD296" s="1471"/>
      <c r="AE296" s="1471"/>
      <c r="AF296" s="1471"/>
      <c r="AG296" s="1471"/>
      <c r="AH296" s="1471"/>
      <c r="AI296" s="1471"/>
      <c r="AJ296" s="1471"/>
      <c r="AK296" s="1471"/>
      <c r="BN296" s="34"/>
    </row>
    <row r="297" spans="2:66" ht="13" customHeight="1">
      <c r="B297" s="3" t="s">
        <v>480</v>
      </c>
      <c r="C297" s="3"/>
      <c r="D297" s="3"/>
      <c r="E297" s="3"/>
      <c r="F297" s="3"/>
      <c r="H297" s="1471" t="s">
        <v>2703</v>
      </c>
      <c r="I297" s="1471"/>
      <c r="J297" s="1471"/>
      <c r="K297" s="1471"/>
      <c r="L297" s="1471"/>
      <c r="M297" s="1471"/>
      <c r="N297" s="1471"/>
      <c r="O297" s="1471"/>
      <c r="P297" s="1471"/>
      <c r="Q297" s="1471"/>
      <c r="R297" s="1471"/>
      <c r="T297" s="3" t="s">
        <v>75</v>
      </c>
      <c r="V297" s="3"/>
      <c r="W297" s="3"/>
      <c r="X297" s="3"/>
      <c r="Y297" s="3"/>
      <c r="AA297" s="1471"/>
      <c r="AB297" s="1471"/>
      <c r="AC297" s="1471"/>
      <c r="AD297" s="1471"/>
      <c r="AE297" s="1471"/>
      <c r="AF297" s="1471"/>
      <c r="AG297" s="1471"/>
      <c r="AH297" s="1471"/>
      <c r="AI297" s="1471"/>
      <c r="AJ297" s="1471"/>
      <c r="AK297" s="1471"/>
      <c r="BN297" s="34"/>
    </row>
    <row r="298" spans="2:66" ht="13" customHeight="1">
      <c r="B298" s="3" t="s">
        <v>87</v>
      </c>
      <c r="C298" s="3"/>
      <c r="D298" s="3"/>
      <c r="E298" s="3"/>
      <c r="F298" s="3"/>
      <c r="H298" s="1471" t="s">
        <v>2704</v>
      </c>
      <c r="I298" s="1471"/>
      <c r="J298" s="1471"/>
      <c r="K298" s="1471"/>
      <c r="L298" s="1471"/>
      <c r="M298" s="1471"/>
      <c r="N298" s="1471"/>
      <c r="O298" s="1471"/>
      <c r="P298" s="1471"/>
      <c r="Q298" s="1471"/>
      <c r="R298" s="1471"/>
      <c r="T298" s="3" t="s">
        <v>87</v>
      </c>
      <c r="V298" s="3"/>
      <c r="W298" s="3"/>
      <c r="X298" s="3"/>
      <c r="Y298" s="3"/>
      <c r="AA298" s="1471"/>
      <c r="AB298" s="1471"/>
      <c r="AC298" s="1471"/>
      <c r="AD298" s="1471"/>
      <c r="AE298" s="1471"/>
      <c r="AF298" s="1471"/>
      <c r="AG298" s="1471"/>
      <c r="AH298" s="1471"/>
      <c r="AI298" s="1471"/>
      <c r="AJ298" s="1471"/>
      <c r="AK298" s="1471"/>
      <c r="BN298" s="34"/>
    </row>
    <row r="299" spans="2:66" ht="13" customHeight="1">
      <c r="B299" s="3" t="s">
        <v>88</v>
      </c>
      <c r="C299" s="3"/>
      <c r="D299" s="3"/>
      <c r="E299" s="3"/>
      <c r="F299" s="3"/>
      <c r="G299" s="3"/>
      <c r="H299" s="1779" t="s">
        <v>2705</v>
      </c>
      <c r="I299" s="1714"/>
      <c r="J299" s="1714"/>
      <c r="K299" s="1714"/>
      <c r="L299" s="1714"/>
      <c r="M299" s="1714"/>
      <c r="N299" s="4" t="s">
        <v>206</v>
      </c>
      <c r="O299" s="4"/>
      <c r="P299" s="1466">
        <v>101</v>
      </c>
      <c r="Q299" s="1466"/>
      <c r="R299" s="1466"/>
      <c r="S299" s="3"/>
      <c r="T299" s="3" t="s">
        <v>88</v>
      </c>
      <c r="V299" s="3"/>
      <c r="W299" s="3"/>
      <c r="X299" s="3"/>
      <c r="Y299" s="3"/>
      <c r="AA299" s="1714"/>
      <c r="AB299" s="1714"/>
      <c r="AC299" s="1714"/>
      <c r="AD299" s="1714"/>
      <c r="AE299" s="1714"/>
      <c r="AF299" s="1714"/>
      <c r="AG299" s="4" t="s">
        <v>206</v>
      </c>
      <c r="AH299" s="4"/>
      <c r="AI299" s="1466"/>
      <c r="AJ299" s="1466"/>
      <c r="AK299" s="1466"/>
      <c r="BN299" s="34"/>
    </row>
    <row r="300" spans="2:66" ht="13" customHeight="1">
      <c r="B300" s="3" t="s">
        <v>89</v>
      </c>
      <c r="C300" s="3"/>
      <c r="D300" s="3"/>
      <c r="E300" s="3"/>
      <c r="F300" s="3"/>
      <c r="G300" s="3"/>
      <c r="H300" s="1474"/>
      <c r="I300" s="1474"/>
      <c r="J300" s="1474"/>
      <c r="K300" s="1474"/>
      <c r="L300" s="1474"/>
      <c r="M300" s="1474"/>
      <c r="N300" s="4"/>
      <c r="O300" s="4"/>
      <c r="P300" s="35"/>
      <c r="Q300" s="35"/>
      <c r="R300" s="35"/>
      <c r="S300" s="3"/>
      <c r="T300" s="3" t="s">
        <v>89</v>
      </c>
      <c r="V300" s="3"/>
      <c r="W300" s="3"/>
      <c r="X300" s="3"/>
      <c r="Y300" s="3"/>
      <c r="AA300" s="1474"/>
      <c r="AB300" s="1474"/>
      <c r="AC300" s="1474"/>
      <c r="AD300" s="1474"/>
      <c r="AE300" s="1474"/>
      <c r="AF300" s="1474"/>
      <c r="AG300" s="4"/>
      <c r="AH300" s="4"/>
      <c r="AI300" s="35"/>
      <c r="AJ300" s="35"/>
      <c r="AK300" s="35"/>
      <c r="BN300" s="34"/>
    </row>
    <row r="301" spans="2:66" ht="13" customHeight="1">
      <c r="B301" s="3" t="s">
        <v>76</v>
      </c>
      <c r="C301" s="3"/>
      <c r="D301" s="3"/>
      <c r="E301" s="3"/>
      <c r="F301" s="3"/>
      <c r="G301" s="3"/>
      <c r="H301" s="1471" t="s">
        <v>2706</v>
      </c>
      <c r="I301" s="1471"/>
      <c r="J301" s="1471"/>
      <c r="K301" s="1471"/>
      <c r="L301" s="1471"/>
      <c r="M301" s="1471"/>
      <c r="N301" s="1475"/>
      <c r="O301" s="1475"/>
      <c r="P301" s="1475"/>
      <c r="Q301" s="1475"/>
      <c r="R301" s="1475"/>
      <c r="S301" s="3"/>
      <c r="T301" s="3" t="s">
        <v>76</v>
      </c>
      <c r="V301" s="3"/>
      <c r="W301" s="3"/>
      <c r="X301" s="3"/>
      <c r="Y301" s="3"/>
      <c r="AA301" s="1471"/>
      <c r="AB301" s="1471"/>
      <c r="AC301" s="1471"/>
      <c r="AD301" s="1471"/>
      <c r="AE301" s="1471"/>
      <c r="AF301" s="1471"/>
      <c r="AG301" s="1475"/>
      <c r="AH301" s="1475"/>
      <c r="AI301" s="1475"/>
      <c r="AJ301" s="1475"/>
      <c r="AK301" s="1475"/>
      <c r="BN301" s="34"/>
    </row>
    <row r="302" spans="2:66" ht="13" customHeight="1">
      <c r="BN302" s="34"/>
    </row>
    <row r="303" spans="2:66" ht="13" customHeight="1">
      <c r="B303" s="3" t="s">
        <v>77</v>
      </c>
      <c r="C303" s="3"/>
      <c r="D303" s="3"/>
      <c r="E303" s="3"/>
      <c r="F303" s="3"/>
      <c r="H303" s="1475" t="str">
        <f>H295</f>
        <v>Bergman and Allderdice</v>
      </c>
      <c r="I303" s="1475"/>
      <c r="J303" s="1475"/>
      <c r="K303" s="1475"/>
      <c r="L303" s="1475"/>
      <c r="M303" s="1475"/>
      <c r="N303" s="1475"/>
      <c r="O303" s="1475"/>
      <c r="P303" s="1475"/>
      <c r="Q303" s="1475"/>
      <c r="R303" s="1475"/>
      <c r="T303" s="4" t="s">
        <v>890</v>
      </c>
      <c r="V303" s="3"/>
      <c r="W303" s="3"/>
      <c r="X303" s="3"/>
      <c r="Y303" s="3"/>
      <c r="AA303" s="1475"/>
      <c r="AB303" s="1475"/>
      <c r="AC303" s="1475"/>
      <c r="AD303" s="1475"/>
      <c r="AE303" s="1475"/>
      <c r="AF303" s="1475"/>
      <c r="AG303" s="1475"/>
      <c r="AH303" s="1475"/>
      <c r="AI303" s="1475"/>
      <c r="AJ303" s="1475"/>
      <c r="AK303" s="1475"/>
      <c r="BN303" s="34"/>
    </row>
    <row r="304" spans="2:66" ht="13" customHeight="1">
      <c r="B304" s="3" t="s">
        <v>479</v>
      </c>
      <c r="C304" s="3"/>
      <c r="D304" s="3"/>
      <c r="E304" s="3"/>
      <c r="F304" s="3"/>
      <c r="H304" s="1471" t="str">
        <f>H296</f>
        <v>1200 Wilshire Blvd., Suite 610</v>
      </c>
      <c r="I304" s="1471"/>
      <c r="J304" s="1471"/>
      <c r="K304" s="1471"/>
      <c r="L304" s="1471"/>
      <c r="M304" s="1471"/>
      <c r="N304" s="1471"/>
      <c r="O304" s="1471"/>
      <c r="P304" s="1471"/>
      <c r="Q304" s="1471"/>
      <c r="R304" s="1471"/>
      <c r="T304" s="3" t="s">
        <v>479</v>
      </c>
      <c r="V304" s="3"/>
      <c r="W304" s="3"/>
      <c r="X304" s="3"/>
      <c r="Y304" s="3"/>
      <c r="AA304" s="1471"/>
      <c r="AB304" s="1471"/>
      <c r="AC304" s="1471"/>
      <c r="AD304" s="1471"/>
      <c r="AE304" s="1471"/>
      <c r="AF304" s="1471"/>
      <c r="AG304" s="1471"/>
      <c r="AH304" s="1471"/>
      <c r="AI304" s="1471"/>
      <c r="AJ304" s="1471"/>
      <c r="AK304" s="1471"/>
      <c r="BN304" s="34"/>
    </row>
    <row r="305" spans="2:66" ht="13" customHeight="1">
      <c r="B305" s="3" t="s">
        <v>480</v>
      </c>
      <c r="C305" s="3"/>
      <c r="D305" s="3"/>
      <c r="E305" s="3"/>
      <c r="F305" s="3"/>
      <c r="H305" s="1471" t="str">
        <f>H297</f>
        <v>Los Angeles, CA  90017</v>
      </c>
      <c r="I305" s="1471"/>
      <c r="J305" s="1471"/>
      <c r="K305" s="1471"/>
      <c r="L305" s="1471"/>
      <c r="M305" s="1471"/>
      <c r="N305" s="1471"/>
      <c r="O305" s="1471"/>
      <c r="P305" s="1471"/>
      <c r="Q305" s="1471"/>
      <c r="R305" s="1471"/>
      <c r="T305" s="3" t="s">
        <v>75</v>
      </c>
      <c r="V305" s="3"/>
      <c r="W305" s="3"/>
      <c r="X305" s="3"/>
      <c r="Y305" s="3"/>
      <c r="AA305" s="1471"/>
      <c r="AB305" s="1471"/>
      <c r="AC305" s="1471"/>
      <c r="AD305" s="1471"/>
      <c r="AE305" s="1471"/>
      <c r="AF305" s="1471"/>
      <c r="AG305" s="1471"/>
      <c r="AH305" s="1471"/>
      <c r="AI305" s="1471"/>
      <c r="AJ305" s="1471"/>
      <c r="AK305" s="1471"/>
      <c r="BN305" s="34"/>
    </row>
    <row r="306" spans="2:66" ht="13" customHeight="1">
      <c r="B306" s="3" t="s">
        <v>87</v>
      </c>
      <c r="C306" s="3"/>
      <c r="D306" s="3"/>
      <c r="E306" s="3"/>
      <c r="F306" s="3"/>
      <c r="H306" s="1471" t="str">
        <f>H298</f>
        <v>Beth S. Bergman</v>
      </c>
      <c r="I306" s="1471"/>
      <c r="J306" s="1471"/>
      <c r="K306" s="1471"/>
      <c r="L306" s="1471"/>
      <c r="M306" s="1471"/>
      <c r="N306" s="1471"/>
      <c r="O306" s="1471"/>
      <c r="P306" s="1471"/>
      <c r="Q306" s="1471"/>
      <c r="R306" s="1471"/>
      <c r="T306" s="3" t="s">
        <v>87</v>
      </c>
      <c r="V306" s="3"/>
      <c r="W306" s="3"/>
      <c r="X306" s="3"/>
      <c r="Y306" s="3"/>
      <c r="AA306" s="1471"/>
      <c r="AB306" s="1471"/>
      <c r="AC306" s="1471"/>
      <c r="AD306" s="1471"/>
      <c r="AE306" s="1471"/>
      <c r="AF306" s="1471"/>
      <c r="AG306" s="1471"/>
      <c r="AH306" s="1471"/>
      <c r="AI306" s="1471"/>
      <c r="AJ306" s="1471"/>
      <c r="AK306" s="1471"/>
      <c r="BN306" s="34"/>
    </row>
    <row r="307" spans="2:66" ht="13" customHeight="1">
      <c r="B307" s="3" t="s">
        <v>88</v>
      </c>
      <c r="C307" s="3"/>
      <c r="D307" s="3"/>
      <c r="E307" s="3"/>
      <c r="F307" s="3"/>
      <c r="G307" s="3"/>
      <c r="H307" s="1714" t="str">
        <f>H299</f>
        <v>213.736.5101</v>
      </c>
      <c r="I307" s="1714"/>
      <c r="J307" s="1714"/>
      <c r="K307" s="1714"/>
      <c r="L307" s="1714"/>
      <c r="M307" s="1714"/>
      <c r="N307" s="4" t="s">
        <v>206</v>
      </c>
      <c r="O307" s="4"/>
      <c r="P307" s="1466">
        <f>P299</f>
        <v>101</v>
      </c>
      <c r="Q307" s="1466"/>
      <c r="R307" s="1466"/>
      <c r="S307" s="3"/>
      <c r="T307" s="3" t="s">
        <v>88</v>
      </c>
      <c r="V307" s="3"/>
      <c r="W307" s="3"/>
      <c r="X307" s="3"/>
      <c r="Y307" s="3"/>
      <c r="AA307" s="1714"/>
      <c r="AB307" s="1714"/>
      <c r="AC307" s="1714"/>
      <c r="AD307" s="1714"/>
      <c r="AE307" s="1714"/>
      <c r="AF307" s="1714"/>
      <c r="AG307" s="4" t="s">
        <v>206</v>
      </c>
      <c r="AH307" s="4"/>
      <c r="AI307" s="1466"/>
      <c r="AJ307" s="1466"/>
      <c r="AK307" s="1466"/>
      <c r="BN307" s="34"/>
    </row>
    <row r="308" spans="2:66" ht="13" customHeight="1">
      <c r="B308" s="3" t="s">
        <v>89</v>
      </c>
      <c r="C308" s="3"/>
      <c r="D308" s="3"/>
      <c r="E308" s="3"/>
      <c r="F308" s="3"/>
      <c r="G308" s="3"/>
      <c r="H308" s="1474"/>
      <c r="I308" s="1474"/>
      <c r="J308" s="1474"/>
      <c r="K308" s="1474"/>
      <c r="L308" s="1474"/>
      <c r="M308" s="1474"/>
      <c r="N308" s="4"/>
      <c r="O308" s="4"/>
      <c r="P308" s="35"/>
      <c r="Q308" s="35"/>
      <c r="R308" s="35"/>
      <c r="S308" s="3"/>
      <c r="T308" s="3" t="s">
        <v>89</v>
      </c>
      <c r="V308" s="3"/>
      <c r="W308" s="3"/>
      <c r="X308" s="3"/>
      <c r="Y308" s="3"/>
      <c r="AA308" s="1474"/>
      <c r="AB308" s="1474"/>
      <c r="AC308" s="1474"/>
      <c r="AD308" s="1474"/>
      <c r="AE308" s="1474"/>
      <c r="AF308" s="1474"/>
      <c r="AG308" s="4"/>
      <c r="AH308" s="4"/>
      <c r="AI308" s="35"/>
      <c r="AJ308" s="35"/>
      <c r="AK308" s="35"/>
      <c r="BN308" s="34"/>
    </row>
    <row r="309" spans="2:66" ht="13" customHeight="1">
      <c r="B309" s="3" t="s">
        <v>76</v>
      </c>
      <c r="C309" s="3"/>
      <c r="D309" s="3"/>
      <c r="E309" s="3"/>
      <c r="F309" s="3"/>
      <c r="G309" s="3"/>
      <c r="H309" s="1471" t="str">
        <f>H301</f>
        <v>bbergman@b-alaw.com</v>
      </c>
      <c r="I309" s="1471"/>
      <c r="J309" s="1471"/>
      <c r="K309" s="1471"/>
      <c r="L309" s="1471"/>
      <c r="M309" s="1471"/>
      <c r="N309" s="1475"/>
      <c r="O309" s="1475"/>
      <c r="P309" s="1475"/>
      <c r="Q309" s="1475"/>
      <c r="R309" s="1475"/>
      <c r="S309" s="3"/>
      <c r="T309" s="3" t="s">
        <v>76</v>
      </c>
      <c r="V309" s="3"/>
      <c r="W309" s="3"/>
      <c r="X309" s="3"/>
      <c r="Y309" s="3"/>
      <c r="AA309" s="1471"/>
      <c r="AB309" s="1471"/>
      <c r="AC309" s="1471"/>
      <c r="AD309" s="1471"/>
      <c r="AE309" s="1471"/>
      <c r="AF309" s="1471"/>
      <c r="AG309" s="1475"/>
      <c r="AH309" s="1475"/>
      <c r="AI309" s="1475"/>
      <c r="AJ309" s="1475"/>
      <c r="AK309" s="147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75"/>
      <c r="I311" s="1475"/>
      <c r="J311" s="1475"/>
      <c r="K311" s="1475"/>
      <c r="L311" s="1475"/>
      <c r="M311" s="1475"/>
      <c r="N311" s="1475"/>
      <c r="O311" s="1475"/>
      <c r="P311" s="1475"/>
      <c r="Q311" s="1475"/>
      <c r="R311" s="1475"/>
      <c r="S311" s="3"/>
      <c r="T311" s="3" t="s">
        <v>365</v>
      </c>
      <c r="V311" s="3"/>
      <c r="W311" s="3"/>
      <c r="X311" s="3"/>
      <c r="Y311" s="3"/>
      <c r="AA311" s="1475"/>
      <c r="AB311" s="1475"/>
      <c r="AC311" s="1475"/>
      <c r="AD311" s="1475"/>
      <c r="AE311" s="1475"/>
      <c r="AF311" s="1475"/>
      <c r="AG311" s="1475"/>
      <c r="AH311" s="1475"/>
      <c r="AI311" s="1475"/>
      <c r="AJ311" s="1475"/>
      <c r="AK311" s="1475"/>
      <c r="BN311" s="34"/>
    </row>
    <row r="312" spans="2:66" ht="13" customHeight="1">
      <c r="B312" s="3" t="s">
        <v>479</v>
      </c>
      <c r="C312" s="3"/>
      <c r="D312" s="3"/>
      <c r="E312" s="3"/>
      <c r="F312" s="3"/>
      <c r="H312" s="1471"/>
      <c r="I312" s="1471"/>
      <c r="J312" s="1471"/>
      <c r="K312" s="1471"/>
      <c r="L312" s="1471"/>
      <c r="M312" s="1471"/>
      <c r="N312" s="1471"/>
      <c r="O312" s="1471"/>
      <c r="P312" s="1471"/>
      <c r="Q312" s="1471"/>
      <c r="R312" s="1471"/>
      <c r="S312" s="3"/>
      <c r="T312" s="3" t="s">
        <v>479</v>
      </c>
      <c r="V312" s="3"/>
      <c r="W312" s="3"/>
      <c r="X312" s="3"/>
      <c r="Y312" s="3"/>
      <c r="AA312" s="1471"/>
      <c r="AB312" s="1471"/>
      <c r="AC312" s="1471"/>
      <c r="AD312" s="1471"/>
      <c r="AE312" s="1471"/>
      <c r="AF312" s="1471"/>
      <c r="AG312" s="1471"/>
      <c r="AH312" s="1471"/>
      <c r="AI312" s="1471"/>
      <c r="AJ312" s="1471"/>
      <c r="AK312" s="1471"/>
      <c r="BN312" s="34"/>
    </row>
    <row r="313" spans="2:66" ht="13" customHeight="1">
      <c r="B313" s="3" t="s">
        <v>480</v>
      </c>
      <c r="C313" s="3"/>
      <c r="D313" s="3"/>
      <c r="E313" s="3"/>
      <c r="F313" s="3"/>
      <c r="H313" s="1471"/>
      <c r="I313" s="1471"/>
      <c r="J313" s="1471"/>
      <c r="K313" s="1471"/>
      <c r="L313" s="1471"/>
      <c r="M313" s="1471"/>
      <c r="N313" s="1471"/>
      <c r="O313" s="1471"/>
      <c r="P313" s="1471"/>
      <c r="Q313" s="1471"/>
      <c r="R313" s="1471"/>
      <c r="S313" s="3"/>
      <c r="T313" s="3" t="s">
        <v>75</v>
      </c>
      <c r="V313" s="3"/>
      <c r="W313" s="3"/>
      <c r="X313" s="3"/>
      <c r="Y313" s="3"/>
      <c r="AA313" s="1471"/>
      <c r="AB313" s="1471"/>
      <c r="AC313" s="1471"/>
      <c r="AD313" s="1471"/>
      <c r="AE313" s="1471"/>
      <c r="AF313" s="1471"/>
      <c r="AG313" s="1471"/>
      <c r="AH313" s="1471"/>
      <c r="AI313" s="1471"/>
      <c r="AJ313" s="1471"/>
      <c r="AK313" s="1471"/>
      <c r="BN313" s="34"/>
    </row>
    <row r="314" spans="2:66" ht="13" customHeight="1">
      <c r="B314" s="3" t="s">
        <v>87</v>
      </c>
      <c r="C314" s="3"/>
      <c r="D314" s="3"/>
      <c r="E314" s="3"/>
      <c r="F314" s="3"/>
      <c r="H314" s="1471"/>
      <c r="I314" s="1471"/>
      <c r="J314" s="1471"/>
      <c r="K314" s="1471"/>
      <c r="L314" s="1471"/>
      <c r="M314" s="1471"/>
      <c r="N314" s="1471"/>
      <c r="O314" s="1471"/>
      <c r="P314" s="1471"/>
      <c r="Q314" s="1471"/>
      <c r="R314" s="1471"/>
      <c r="S314" s="3"/>
      <c r="T314" s="3" t="s">
        <v>87</v>
      </c>
      <c r="V314" s="3"/>
      <c r="W314" s="3"/>
      <c r="X314" s="3"/>
      <c r="Y314" s="3"/>
      <c r="AA314" s="1471"/>
      <c r="AB314" s="1471"/>
      <c r="AC314" s="1471"/>
      <c r="AD314" s="1471"/>
      <c r="AE314" s="1471"/>
      <c r="AF314" s="1471"/>
      <c r="AG314" s="1471"/>
      <c r="AH314" s="1471"/>
      <c r="AI314" s="1471"/>
      <c r="AJ314" s="1471"/>
      <c r="AK314" s="1471"/>
      <c r="BN314" s="34"/>
    </row>
    <row r="315" spans="2:66" ht="13" customHeight="1">
      <c r="B315" s="3" t="s">
        <v>88</v>
      </c>
      <c r="C315" s="3"/>
      <c r="D315" s="3"/>
      <c r="E315" s="3"/>
      <c r="F315" s="3"/>
      <c r="G315" s="3"/>
      <c r="H315" s="1714"/>
      <c r="I315" s="1714"/>
      <c r="J315" s="1714"/>
      <c r="K315" s="1714"/>
      <c r="L315" s="1714"/>
      <c r="M315" s="1714"/>
      <c r="N315" s="4" t="s">
        <v>206</v>
      </c>
      <c r="O315" s="4"/>
      <c r="P315" s="1466"/>
      <c r="Q315" s="1466"/>
      <c r="R315" s="1466"/>
      <c r="S315" s="3"/>
      <c r="T315" s="3" t="s">
        <v>88</v>
      </c>
      <c r="V315" s="3"/>
      <c r="W315" s="3"/>
      <c r="X315" s="3"/>
      <c r="Y315" s="3"/>
      <c r="AA315" s="1714"/>
      <c r="AB315" s="1714"/>
      <c r="AC315" s="1714"/>
      <c r="AD315" s="1714"/>
      <c r="AE315" s="1714"/>
      <c r="AF315" s="1714"/>
      <c r="AG315" s="4" t="s">
        <v>206</v>
      </c>
      <c r="AH315" s="4"/>
      <c r="AI315" s="1466"/>
      <c r="AJ315" s="1466"/>
      <c r="AK315" s="1466"/>
      <c r="BN315" s="34"/>
    </row>
    <row r="316" spans="2:66" ht="13" customHeight="1">
      <c r="B316" s="3" t="s">
        <v>89</v>
      </c>
      <c r="C316" s="3"/>
      <c r="D316" s="3"/>
      <c r="E316" s="3"/>
      <c r="F316" s="3"/>
      <c r="G316" s="3"/>
      <c r="H316" s="1474"/>
      <c r="I316" s="1474"/>
      <c r="J316" s="1474"/>
      <c r="K316" s="1474"/>
      <c r="L316" s="1474"/>
      <c r="M316" s="1474"/>
      <c r="N316" s="4"/>
      <c r="O316" s="4"/>
      <c r="P316" s="35"/>
      <c r="Q316" s="35"/>
      <c r="R316" s="35"/>
      <c r="S316" s="3"/>
      <c r="T316" s="3" t="s">
        <v>89</v>
      </c>
      <c r="V316" s="3"/>
      <c r="W316" s="3"/>
      <c r="X316" s="3"/>
      <c r="Y316" s="3"/>
      <c r="AA316" s="1474"/>
      <c r="AB316" s="1474"/>
      <c r="AC316" s="1474"/>
      <c r="AD316" s="1474"/>
      <c r="AE316" s="1474"/>
      <c r="AF316" s="1474"/>
      <c r="AG316" s="4"/>
      <c r="AH316" s="4"/>
      <c r="AI316" s="35"/>
      <c r="AJ316" s="35"/>
      <c r="AK316" s="35"/>
      <c r="BN316" s="34"/>
    </row>
    <row r="317" spans="2:66" ht="13" customHeight="1">
      <c r="B317" s="3" t="s">
        <v>76</v>
      </c>
      <c r="C317" s="3"/>
      <c r="D317" s="3"/>
      <c r="E317" s="3"/>
      <c r="F317" s="3"/>
      <c r="G317" s="3"/>
      <c r="H317" s="1471"/>
      <c r="I317" s="1471"/>
      <c r="J317" s="1471"/>
      <c r="K317" s="1471"/>
      <c r="L317" s="1471"/>
      <c r="M317" s="1471"/>
      <c r="N317" s="1475"/>
      <c r="O317" s="1475"/>
      <c r="P317" s="1475"/>
      <c r="Q317" s="1475"/>
      <c r="R317" s="1475"/>
      <c r="S317" s="3"/>
      <c r="T317" s="3" t="s">
        <v>76</v>
      </c>
      <c r="V317" s="3"/>
      <c r="W317" s="3"/>
      <c r="X317" s="3"/>
      <c r="Y317" s="3"/>
      <c r="AA317" s="1471"/>
      <c r="AB317" s="1471"/>
      <c r="AC317" s="1471"/>
      <c r="AD317" s="1471"/>
      <c r="AE317" s="1471"/>
      <c r="AF317" s="1471"/>
      <c r="AG317" s="1475"/>
      <c r="AH317" s="1475"/>
      <c r="AI317" s="1475"/>
      <c r="AJ317" s="1475"/>
      <c r="AK317" s="1475"/>
      <c r="BN317" s="34"/>
    </row>
    <row r="318" spans="2:66" ht="13" customHeight="1">
      <c r="BN318" s="34"/>
    </row>
    <row r="319" spans="2:66" ht="13" customHeight="1">
      <c r="B319" s="4" t="s">
        <v>923</v>
      </c>
      <c r="C319" s="3"/>
      <c r="D319" s="3"/>
      <c r="E319" s="3"/>
      <c r="F319" s="3"/>
      <c r="H319" s="1465" t="s">
        <v>2707</v>
      </c>
      <c r="I319" s="1475"/>
      <c r="J319" s="1475"/>
      <c r="K319" s="1475"/>
      <c r="L319" s="1475"/>
      <c r="M319" s="1475"/>
      <c r="N319" s="1475"/>
      <c r="O319" s="1475"/>
      <c r="P319" s="1475"/>
      <c r="Q319" s="1475"/>
      <c r="R319" s="1475"/>
      <c r="T319" s="3" t="s">
        <v>366</v>
      </c>
      <c r="V319" s="3"/>
      <c r="W319" s="3"/>
      <c r="X319" s="3"/>
      <c r="Y319" s="3"/>
      <c r="AA319" s="1872" t="s">
        <v>2656</v>
      </c>
      <c r="AB319" s="1872"/>
      <c r="AC319" s="1872"/>
      <c r="AD319" s="1872"/>
      <c r="AE319" s="1872"/>
      <c r="AF319" s="1872"/>
      <c r="AG319" s="1872"/>
      <c r="AH319" s="1872"/>
      <c r="AI319" s="1872"/>
      <c r="AJ319" s="1872"/>
      <c r="AK319" s="1872"/>
      <c r="BN319" s="34"/>
    </row>
    <row r="320" spans="2:66" ht="13" customHeight="1">
      <c r="B320" s="3" t="s">
        <v>479</v>
      </c>
      <c r="C320" s="3"/>
      <c r="D320" s="3"/>
      <c r="E320" s="3"/>
      <c r="F320" s="3"/>
      <c r="H320" s="1471" t="s">
        <v>2711</v>
      </c>
      <c r="I320" s="1471"/>
      <c r="J320" s="1471"/>
      <c r="K320" s="1471"/>
      <c r="L320" s="1471"/>
      <c r="M320" s="1471"/>
      <c r="N320" s="1471"/>
      <c r="O320" s="1471"/>
      <c r="P320" s="1471"/>
      <c r="Q320" s="1471"/>
      <c r="R320" s="1471"/>
      <c r="T320" s="3" t="s">
        <v>479</v>
      </c>
      <c r="V320" s="3"/>
      <c r="W320" s="3"/>
      <c r="X320" s="3"/>
      <c r="Y320" s="3"/>
      <c r="AA320" s="1783" t="s">
        <v>2657</v>
      </c>
      <c r="AB320" s="1783"/>
      <c r="AC320" s="1783"/>
      <c r="AD320" s="1783"/>
      <c r="AE320" s="1783"/>
      <c r="AF320" s="1783"/>
      <c r="AG320" s="1783"/>
      <c r="AH320" s="1783"/>
      <c r="AI320" s="1783"/>
      <c r="AJ320" s="1783"/>
      <c r="AK320" s="1783"/>
      <c r="BN320" s="34"/>
    </row>
    <row r="321" spans="2:66" ht="13" customHeight="1">
      <c r="B321" s="3" t="s">
        <v>480</v>
      </c>
      <c r="C321" s="3"/>
      <c r="D321" s="3"/>
      <c r="E321" s="3"/>
      <c r="F321" s="3"/>
      <c r="H321" s="1698" t="s">
        <v>2712</v>
      </c>
      <c r="I321" s="1471"/>
      <c r="J321" s="1471"/>
      <c r="K321" s="1471"/>
      <c r="L321" s="1471"/>
      <c r="M321" s="1471"/>
      <c r="N321" s="1471"/>
      <c r="O321" s="1471"/>
      <c r="P321" s="1471"/>
      <c r="Q321" s="1471"/>
      <c r="R321" s="1471"/>
      <c r="T321" s="3" t="s">
        <v>75</v>
      </c>
      <c r="V321" s="3"/>
      <c r="W321" s="3"/>
      <c r="X321" s="3"/>
      <c r="Y321" s="3"/>
      <c r="AA321" s="1783" t="s">
        <v>2658</v>
      </c>
      <c r="AB321" s="1783"/>
      <c r="AC321" s="1783"/>
      <c r="AD321" s="1783"/>
      <c r="AE321" s="1783"/>
      <c r="AF321" s="1783"/>
      <c r="AG321" s="1783"/>
      <c r="AH321" s="1783"/>
      <c r="AI321" s="1783"/>
      <c r="AJ321" s="1783"/>
      <c r="AK321" s="1783"/>
      <c r="BN321" s="34"/>
    </row>
    <row r="322" spans="2:66" ht="13" customHeight="1">
      <c r="B322" s="3" t="s">
        <v>87</v>
      </c>
      <c r="C322" s="3"/>
      <c r="D322" s="3"/>
      <c r="E322" s="3"/>
      <c r="F322" s="3"/>
      <c r="H322" s="1698" t="s">
        <v>2710</v>
      </c>
      <c r="I322" s="1471"/>
      <c r="J322" s="1471"/>
      <c r="K322" s="1471"/>
      <c r="L322" s="1471"/>
      <c r="M322" s="1471"/>
      <c r="N322" s="1471"/>
      <c r="O322" s="1471"/>
      <c r="P322" s="1471"/>
      <c r="Q322" s="1471"/>
      <c r="R322" s="1471"/>
      <c r="T322" s="3" t="s">
        <v>87</v>
      </c>
      <c r="V322" s="3"/>
      <c r="W322" s="3"/>
      <c r="X322" s="3"/>
      <c r="Y322" s="3"/>
      <c r="AA322" s="1783" t="s">
        <v>2659</v>
      </c>
      <c r="AB322" s="1783"/>
      <c r="AC322" s="1783"/>
      <c r="AD322" s="1783"/>
      <c r="AE322" s="1783"/>
      <c r="AF322" s="1783"/>
      <c r="AG322" s="1783"/>
      <c r="AH322" s="1783"/>
      <c r="AI322" s="1783"/>
      <c r="AJ322" s="1783"/>
      <c r="AK322" s="1783"/>
      <c r="BN322" s="34"/>
    </row>
    <row r="323" spans="2:66" ht="13" customHeight="1">
      <c r="B323" s="3" t="s">
        <v>88</v>
      </c>
      <c r="C323" s="3"/>
      <c r="D323" s="3"/>
      <c r="E323" s="3"/>
      <c r="F323" s="3"/>
      <c r="G323" s="3"/>
      <c r="H323" s="1779" t="s">
        <v>2709</v>
      </c>
      <c r="I323" s="1714"/>
      <c r="J323" s="1714"/>
      <c r="K323" s="1714"/>
      <c r="L323" s="1714"/>
      <c r="M323" s="1714"/>
      <c r="N323" s="4" t="s">
        <v>206</v>
      </c>
      <c r="O323" s="4"/>
      <c r="P323" s="1466">
        <v>413</v>
      </c>
      <c r="Q323" s="1466"/>
      <c r="R323" s="1466"/>
      <c r="S323" s="3"/>
      <c r="T323" s="3" t="s">
        <v>88</v>
      </c>
      <c r="V323" s="3"/>
      <c r="W323" s="3"/>
      <c r="X323" s="3"/>
      <c r="Y323" s="3"/>
      <c r="AA323" s="1779" t="s">
        <v>2660</v>
      </c>
      <c r="AB323" s="1714"/>
      <c r="AC323" s="1714"/>
      <c r="AD323" s="1714"/>
      <c r="AE323" s="1714"/>
      <c r="AF323" s="1714"/>
      <c r="AG323" s="4" t="s">
        <v>206</v>
      </c>
      <c r="AH323" s="4"/>
      <c r="AI323" s="1466"/>
      <c r="AJ323" s="1466"/>
      <c r="AK323" s="1466"/>
    </row>
    <row r="324" spans="2:66" ht="13" customHeight="1">
      <c r="B324" s="3" t="s">
        <v>89</v>
      </c>
      <c r="C324" s="3"/>
      <c r="D324" s="3"/>
      <c r="E324" s="3"/>
      <c r="F324" s="3"/>
      <c r="G324" s="3"/>
      <c r="H324" s="1474"/>
      <c r="I324" s="1474"/>
      <c r="J324" s="1474"/>
      <c r="K324" s="1474"/>
      <c r="L324" s="1474"/>
      <c r="M324" s="1474"/>
      <c r="N324" s="4"/>
      <c r="O324" s="4"/>
      <c r="P324" s="35"/>
      <c r="Q324" s="35"/>
      <c r="R324" s="35"/>
      <c r="S324" s="3"/>
      <c r="T324" s="3" t="s">
        <v>89</v>
      </c>
      <c r="V324" s="3"/>
      <c r="W324" s="3"/>
      <c r="X324" s="3"/>
      <c r="Y324" s="3"/>
      <c r="AA324" s="1474"/>
      <c r="AB324" s="1474"/>
      <c r="AC324" s="1474"/>
      <c r="AD324" s="1474"/>
      <c r="AE324" s="1474"/>
      <c r="AF324" s="1474"/>
      <c r="AG324" s="4"/>
      <c r="AH324" s="4"/>
      <c r="AI324" s="35"/>
      <c r="AJ324" s="35"/>
      <c r="AK324" s="35"/>
    </row>
    <row r="325" spans="2:66" ht="13" customHeight="1">
      <c r="B325" s="3" t="s">
        <v>76</v>
      </c>
      <c r="C325" s="3"/>
      <c r="D325" s="3"/>
      <c r="E325" s="3"/>
      <c r="F325" s="3"/>
      <c r="G325" s="3"/>
      <c r="H325" s="1698" t="s">
        <v>2708</v>
      </c>
      <c r="I325" s="1471"/>
      <c r="J325" s="1471"/>
      <c r="K325" s="1471"/>
      <c r="L325" s="1471"/>
      <c r="M325" s="1471"/>
      <c r="N325" s="1475"/>
      <c r="O325" s="1475"/>
      <c r="P325" s="1475"/>
      <c r="Q325" s="1475"/>
      <c r="R325" s="1475"/>
      <c r="S325" s="3"/>
      <c r="T325" s="3" t="s">
        <v>76</v>
      </c>
      <c r="V325" s="3"/>
      <c r="W325" s="3"/>
      <c r="X325" s="3"/>
      <c r="Y325" s="3"/>
      <c r="AA325" s="1783" t="s">
        <v>2661</v>
      </c>
      <c r="AB325" s="1783"/>
      <c r="AC325" s="1783"/>
      <c r="AD325" s="1783"/>
      <c r="AE325" s="1783"/>
      <c r="AF325" s="1783"/>
      <c r="AG325" s="1872"/>
      <c r="AH325" s="1872"/>
      <c r="AI325" s="1872"/>
      <c r="AJ325" s="1872"/>
      <c r="AK325" s="187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872" t="s">
        <v>2656</v>
      </c>
      <c r="I327" s="1872"/>
      <c r="J327" s="1872"/>
      <c r="K327" s="1872"/>
      <c r="L327" s="1872"/>
      <c r="M327" s="1872"/>
      <c r="N327" s="1872"/>
      <c r="O327" s="1872"/>
      <c r="P327" s="1872"/>
      <c r="Q327" s="1872"/>
      <c r="R327" s="1872"/>
      <c r="T327" s="3" t="s">
        <v>368</v>
      </c>
      <c r="V327" s="3"/>
      <c r="W327" s="3"/>
      <c r="X327" s="3"/>
      <c r="Y327" s="3"/>
      <c r="AA327" s="1475"/>
      <c r="AB327" s="1475"/>
      <c r="AC327" s="1475"/>
      <c r="AD327" s="1475"/>
      <c r="AE327" s="1475"/>
      <c r="AF327" s="1475"/>
      <c r="AG327" s="1475"/>
      <c r="AH327" s="1475"/>
      <c r="AI327" s="1475"/>
      <c r="AJ327" s="1475"/>
      <c r="AK327" s="1475"/>
    </row>
    <row r="328" spans="2:66" ht="13" customHeight="1">
      <c r="B328" s="3" t="s">
        <v>479</v>
      </c>
      <c r="C328" s="3"/>
      <c r="D328" s="3"/>
      <c r="E328" s="3"/>
      <c r="F328" s="3"/>
      <c r="H328" s="1783" t="s">
        <v>2657</v>
      </c>
      <c r="I328" s="1783"/>
      <c r="J328" s="1783"/>
      <c r="K328" s="1783"/>
      <c r="L328" s="1783"/>
      <c r="M328" s="1783"/>
      <c r="N328" s="1783"/>
      <c r="O328" s="1783"/>
      <c r="P328" s="1783"/>
      <c r="Q328" s="1783"/>
      <c r="R328" s="1783"/>
      <c r="T328" s="3" t="s">
        <v>479</v>
      </c>
      <c r="V328" s="3"/>
      <c r="W328" s="3"/>
      <c r="X328" s="3"/>
      <c r="Y328" s="3"/>
      <c r="AA328" s="1471"/>
      <c r="AB328" s="1471"/>
      <c r="AC328" s="1471"/>
      <c r="AD328" s="1471"/>
      <c r="AE328" s="1471"/>
      <c r="AF328" s="1471"/>
      <c r="AG328" s="1471"/>
      <c r="AH328" s="1471"/>
      <c r="AI328" s="1471"/>
      <c r="AJ328" s="1471"/>
      <c r="AK328" s="1471"/>
    </row>
    <row r="329" spans="2:66" ht="13" customHeight="1">
      <c r="B329" s="3" t="s">
        <v>480</v>
      </c>
      <c r="C329" s="3"/>
      <c r="D329" s="3"/>
      <c r="E329" s="3"/>
      <c r="F329" s="3"/>
      <c r="H329" s="1783" t="s">
        <v>2658</v>
      </c>
      <c r="I329" s="1783"/>
      <c r="J329" s="1783"/>
      <c r="K329" s="1783"/>
      <c r="L329" s="1783"/>
      <c r="M329" s="1783"/>
      <c r="N329" s="1783"/>
      <c r="O329" s="1783"/>
      <c r="P329" s="1783"/>
      <c r="Q329" s="1783"/>
      <c r="R329" s="1783"/>
      <c r="T329" s="3" t="s">
        <v>75</v>
      </c>
      <c r="V329" s="3"/>
      <c r="W329" s="3"/>
      <c r="X329" s="3"/>
      <c r="Y329" s="3"/>
      <c r="AA329" s="1471"/>
      <c r="AB329" s="1471"/>
      <c r="AC329" s="1471"/>
      <c r="AD329" s="1471"/>
      <c r="AE329" s="1471"/>
      <c r="AF329" s="1471"/>
      <c r="AG329" s="1471"/>
      <c r="AH329" s="1471"/>
      <c r="AI329" s="1471"/>
      <c r="AJ329" s="1471"/>
      <c r="AK329" s="1471"/>
    </row>
    <row r="330" spans="2:66" ht="13" customHeight="1">
      <c r="B330" s="3" t="s">
        <v>87</v>
      </c>
      <c r="C330" s="3"/>
      <c r="D330" s="3"/>
      <c r="E330" s="3"/>
      <c r="F330" s="3"/>
      <c r="H330" s="1783" t="s">
        <v>2659</v>
      </c>
      <c r="I330" s="1783"/>
      <c r="J330" s="1783"/>
      <c r="K330" s="1783"/>
      <c r="L330" s="1783"/>
      <c r="M330" s="1783"/>
      <c r="N330" s="1783"/>
      <c r="O330" s="1783"/>
      <c r="P330" s="1783"/>
      <c r="Q330" s="1783"/>
      <c r="R330" s="1783"/>
      <c r="T330" s="3" t="s">
        <v>87</v>
      </c>
      <c r="V330" s="3"/>
      <c r="W330" s="3"/>
      <c r="X330" s="3"/>
      <c r="Y330" s="3"/>
      <c r="AA330" s="1471"/>
      <c r="AB330" s="1471"/>
      <c r="AC330" s="1471"/>
      <c r="AD330" s="1471"/>
      <c r="AE330" s="1471"/>
      <c r="AF330" s="1471"/>
      <c r="AG330" s="1471"/>
      <c r="AH330" s="1471"/>
      <c r="AI330" s="1471"/>
      <c r="AJ330" s="1471"/>
      <c r="AK330" s="1471"/>
    </row>
    <row r="331" spans="2:66" ht="13" customHeight="1">
      <c r="B331" s="3" t="s">
        <v>88</v>
      </c>
      <c r="C331" s="3"/>
      <c r="D331" s="3"/>
      <c r="E331" s="3"/>
      <c r="F331" s="3"/>
      <c r="G331" s="3"/>
      <c r="H331" s="1873">
        <v>9133124612</v>
      </c>
      <c r="I331" s="1873"/>
      <c r="J331" s="1873"/>
      <c r="K331" s="1873"/>
      <c r="L331" s="1873"/>
      <c r="M331" s="1873"/>
      <c r="N331" s="4" t="s">
        <v>206</v>
      </c>
      <c r="O331" s="4"/>
      <c r="P331" s="1466"/>
      <c r="Q331" s="1466"/>
      <c r="R331" s="1466"/>
      <c r="S331" s="3"/>
      <c r="T331" s="3" t="s">
        <v>88</v>
      </c>
      <c r="V331" s="3"/>
      <c r="W331" s="3"/>
      <c r="X331" s="3"/>
      <c r="Y331" s="3"/>
      <c r="AA331" s="1714"/>
      <c r="AB331" s="1714"/>
      <c r="AC331" s="1714"/>
      <c r="AD331" s="1714"/>
      <c r="AE331" s="1714"/>
      <c r="AF331" s="1714"/>
      <c r="AG331" s="4" t="s">
        <v>206</v>
      </c>
      <c r="AH331" s="4"/>
      <c r="AI331" s="1466"/>
      <c r="AJ331" s="1466"/>
      <c r="AK331" s="1466"/>
    </row>
    <row r="332" spans="2:66" ht="13" customHeight="1">
      <c r="B332" s="3" t="s">
        <v>89</v>
      </c>
      <c r="C332" s="3"/>
      <c r="D332" s="3"/>
      <c r="E332" s="3"/>
      <c r="F332" s="3"/>
      <c r="G332" s="3"/>
      <c r="H332" s="1474"/>
      <c r="I332" s="1474"/>
      <c r="J332" s="1474"/>
      <c r="K332" s="1474"/>
      <c r="L332" s="1474"/>
      <c r="M332" s="1474"/>
      <c r="N332" s="4"/>
      <c r="O332" s="4"/>
      <c r="P332" s="35"/>
      <c r="Q332" s="35"/>
      <c r="R332" s="35"/>
      <c r="S332" s="3"/>
      <c r="T332" s="3" t="s">
        <v>89</v>
      </c>
      <c r="V332" s="3"/>
      <c r="W332" s="3"/>
      <c r="X332" s="3"/>
      <c r="Y332" s="3"/>
      <c r="AA332" s="1474"/>
      <c r="AB332" s="1474"/>
      <c r="AC332" s="1474"/>
      <c r="AD332" s="1474"/>
      <c r="AE332" s="1474"/>
      <c r="AF332" s="1474"/>
      <c r="AG332" s="4"/>
      <c r="AH332" s="4"/>
      <c r="AI332" s="35"/>
      <c r="AJ332" s="35"/>
      <c r="AK332" s="35"/>
    </row>
    <row r="333" spans="2:66" ht="13" customHeight="1">
      <c r="B333" s="3" t="s">
        <v>76</v>
      </c>
      <c r="C333" s="3"/>
      <c r="D333" s="3"/>
      <c r="E333" s="3"/>
      <c r="F333" s="3"/>
      <c r="G333" s="3"/>
      <c r="H333" s="1783" t="s">
        <v>2661</v>
      </c>
      <c r="I333" s="1783"/>
      <c r="J333" s="1783"/>
      <c r="K333" s="1783"/>
      <c r="L333" s="1783"/>
      <c r="M333" s="1783"/>
      <c r="N333" s="1872"/>
      <c r="O333" s="1872"/>
      <c r="P333" s="1872"/>
      <c r="Q333" s="1872"/>
      <c r="R333" s="1872"/>
      <c r="S333" s="3"/>
      <c r="T333" s="3" t="s">
        <v>76</v>
      </c>
      <c r="V333" s="3"/>
      <c r="W333" s="3"/>
      <c r="X333" s="3"/>
      <c r="Y333" s="3"/>
      <c r="AA333" s="1471"/>
      <c r="AB333" s="1471"/>
      <c r="AC333" s="1471"/>
      <c r="AD333" s="1471"/>
      <c r="AE333" s="1471"/>
      <c r="AF333" s="1471"/>
      <c r="AG333" s="1475"/>
      <c r="AH333" s="1475"/>
      <c r="AI333" s="1475"/>
      <c r="AJ333" s="1475"/>
      <c r="AK333" s="147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75" t="s">
        <v>2662</v>
      </c>
      <c r="I335" s="1475"/>
      <c r="J335" s="1475"/>
      <c r="K335" s="1475"/>
      <c r="L335" s="1475"/>
      <c r="M335" s="1475"/>
      <c r="N335" s="1475"/>
      <c r="O335" s="1475"/>
      <c r="P335" s="1475"/>
      <c r="Q335" s="1475"/>
      <c r="R335" s="1475"/>
      <c r="T335" s="218" t="s">
        <v>899</v>
      </c>
      <c r="V335" s="3"/>
      <c r="W335" s="3"/>
      <c r="X335" s="3"/>
      <c r="Y335" s="3"/>
      <c r="AA335" s="1475" t="s">
        <v>2676</v>
      </c>
      <c r="AB335" s="1475"/>
      <c r="AC335" s="1475"/>
      <c r="AD335" s="1475"/>
      <c r="AE335" s="1475"/>
      <c r="AF335" s="1475"/>
      <c r="AG335" s="1475"/>
      <c r="AH335" s="1475"/>
      <c r="AI335" s="1475"/>
      <c r="AJ335" s="1475"/>
      <c r="AK335" s="1475"/>
    </row>
    <row r="336" spans="2:66" ht="13" customHeight="1">
      <c r="B336" s="3" t="s">
        <v>479</v>
      </c>
      <c r="C336" s="3"/>
      <c r="D336" s="3"/>
      <c r="E336" s="3"/>
      <c r="F336" s="3"/>
      <c r="H336" s="1471" t="s">
        <v>2663</v>
      </c>
      <c r="I336" s="1471"/>
      <c r="J336" s="1471"/>
      <c r="K336" s="1471"/>
      <c r="L336" s="1471"/>
      <c r="M336" s="1471"/>
      <c r="N336" s="1471"/>
      <c r="O336" s="1471"/>
      <c r="P336" s="1471"/>
      <c r="Q336" s="1471"/>
      <c r="R336" s="1471"/>
      <c r="T336" s="3" t="s">
        <v>479</v>
      </c>
      <c r="V336" s="3"/>
      <c r="W336" s="3"/>
      <c r="X336" s="3"/>
      <c r="Y336" s="3"/>
      <c r="AA336" s="1471" t="s">
        <v>2684</v>
      </c>
      <c r="AB336" s="1471"/>
      <c r="AC336" s="1471"/>
      <c r="AD336" s="1471"/>
      <c r="AE336" s="1471"/>
      <c r="AF336" s="1471"/>
      <c r="AG336" s="1471"/>
      <c r="AH336" s="1471"/>
      <c r="AI336" s="1471"/>
      <c r="AJ336" s="1471"/>
      <c r="AK336" s="1471"/>
    </row>
    <row r="337" spans="1:66" ht="13" customHeight="1">
      <c r="B337" s="3" t="s">
        <v>75</v>
      </c>
      <c r="C337" s="3"/>
      <c r="D337" s="3"/>
      <c r="E337" s="3"/>
      <c r="F337" s="3"/>
      <c r="H337" s="1471" t="s">
        <v>2664</v>
      </c>
      <c r="I337" s="1471"/>
      <c r="J337" s="1471"/>
      <c r="K337" s="1471"/>
      <c r="L337" s="1471"/>
      <c r="M337" s="1471"/>
      <c r="N337" s="1471"/>
      <c r="O337" s="1471"/>
      <c r="P337" s="1471"/>
      <c r="Q337" s="1471"/>
      <c r="R337" s="1471"/>
      <c r="T337" s="3" t="s">
        <v>75</v>
      </c>
      <c r="V337" s="3"/>
      <c r="W337" s="3"/>
      <c r="X337" s="3"/>
      <c r="Y337" s="3"/>
      <c r="AA337" s="1471" t="s">
        <v>2685</v>
      </c>
      <c r="AB337" s="1471"/>
      <c r="AC337" s="1471"/>
      <c r="AD337" s="1471"/>
      <c r="AE337" s="1471"/>
      <c r="AF337" s="1471"/>
      <c r="AG337" s="1471"/>
      <c r="AH337" s="1471"/>
      <c r="AI337" s="1471"/>
      <c r="AJ337" s="1471"/>
      <c r="AK337" s="1471"/>
    </row>
    <row r="338" spans="1:66" ht="13" customHeight="1">
      <c r="B338" s="3" t="s">
        <v>87</v>
      </c>
      <c r="C338" s="3"/>
      <c r="D338" s="3"/>
      <c r="E338" s="3"/>
      <c r="F338" s="3"/>
      <c r="G338" s="3"/>
      <c r="H338" s="1471" t="s">
        <v>2665</v>
      </c>
      <c r="I338" s="1471"/>
      <c r="J338" s="1471"/>
      <c r="K338" s="1471"/>
      <c r="L338" s="1471"/>
      <c r="M338" s="1471"/>
      <c r="N338" s="1471"/>
      <c r="O338" s="1471"/>
      <c r="P338" s="1471"/>
      <c r="Q338" s="1471"/>
      <c r="R338" s="1471"/>
      <c r="T338" s="3" t="s">
        <v>87</v>
      </c>
      <c r="V338" s="3"/>
      <c r="W338" s="3"/>
      <c r="X338" s="3"/>
      <c r="Y338" s="3"/>
      <c r="AA338" s="1471" t="s">
        <v>2686</v>
      </c>
      <c r="AB338" s="1471"/>
      <c r="AC338" s="1471"/>
      <c r="AD338" s="1471"/>
      <c r="AE338" s="1471"/>
      <c r="AF338" s="1471"/>
      <c r="AG338" s="1471"/>
      <c r="AH338" s="1471"/>
      <c r="AI338" s="1471"/>
      <c r="AJ338" s="1471"/>
      <c r="AK338" s="1471"/>
    </row>
    <row r="339" spans="1:66" ht="13" customHeight="1">
      <c r="B339" s="3" t="s">
        <v>88</v>
      </c>
      <c r="C339" s="3"/>
      <c r="D339" s="3"/>
      <c r="E339" s="3"/>
      <c r="F339" s="3"/>
      <c r="G339" s="3"/>
      <c r="H339" s="1714" t="s">
        <v>2666</v>
      </c>
      <c r="I339" s="1714"/>
      <c r="J339" s="1714"/>
      <c r="K339" s="1714"/>
      <c r="L339" s="1714"/>
      <c r="M339" s="1714"/>
      <c r="N339" s="4" t="s">
        <v>206</v>
      </c>
      <c r="O339" s="4"/>
      <c r="P339" s="1466"/>
      <c r="Q339" s="1466"/>
      <c r="R339" s="1466"/>
      <c r="S339" s="3"/>
      <c r="T339" s="3" t="s">
        <v>88</v>
      </c>
      <c r="V339" s="3"/>
      <c r="W339" s="3"/>
      <c r="X339" s="3"/>
      <c r="Y339" s="3"/>
      <c r="AA339" s="1779" t="s">
        <v>2687</v>
      </c>
      <c r="AB339" s="1714"/>
      <c r="AC339" s="1714"/>
      <c r="AD339" s="1714"/>
      <c r="AE339" s="1714"/>
      <c r="AF339" s="1714"/>
      <c r="AG339" s="4" t="s">
        <v>206</v>
      </c>
      <c r="AH339" s="4"/>
      <c r="AI339" s="1466">
        <v>233</v>
      </c>
      <c r="AJ339" s="1466"/>
      <c r="AK339" s="1466"/>
    </row>
    <row r="340" spans="1:66" ht="13" customHeight="1">
      <c r="B340" s="3" t="s">
        <v>89</v>
      </c>
      <c r="C340" s="3"/>
      <c r="D340" s="3"/>
      <c r="E340" s="3"/>
      <c r="F340" s="3"/>
      <c r="G340" s="3"/>
      <c r="H340" s="1474"/>
      <c r="I340" s="1474"/>
      <c r="J340" s="1474"/>
      <c r="K340" s="1474"/>
      <c r="L340" s="1474"/>
      <c r="M340" s="1474"/>
      <c r="N340" s="4"/>
      <c r="O340" s="4"/>
      <c r="P340" s="35"/>
      <c r="Q340" s="35"/>
      <c r="R340" s="35"/>
      <c r="S340" s="3"/>
      <c r="T340" s="3" t="s">
        <v>89</v>
      </c>
      <c r="V340" s="3"/>
      <c r="W340" s="3"/>
      <c r="X340" s="3"/>
      <c r="Y340" s="3"/>
      <c r="AA340" s="1474"/>
      <c r="AB340" s="1474"/>
      <c r="AC340" s="1474"/>
      <c r="AD340" s="1474"/>
      <c r="AE340" s="1474"/>
      <c r="AF340" s="1474"/>
      <c r="AG340" s="4"/>
      <c r="AH340" s="4"/>
      <c r="AI340" s="35"/>
      <c r="AJ340" s="35"/>
      <c r="AK340" s="35"/>
    </row>
    <row r="341" spans="1:66" ht="13" customHeight="1">
      <c r="B341" s="3" t="s">
        <v>76</v>
      </c>
      <c r="C341" s="3"/>
      <c r="D341" s="3"/>
      <c r="E341" s="3"/>
      <c r="F341" s="3"/>
      <c r="G341" s="3"/>
      <c r="H341" s="1471" t="s">
        <v>2667</v>
      </c>
      <c r="I341" s="1471"/>
      <c r="J341" s="1471"/>
      <c r="K341" s="1471"/>
      <c r="L341" s="1471"/>
      <c r="M341" s="1471"/>
      <c r="N341" s="1475"/>
      <c r="O341" s="1475"/>
      <c r="P341" s="1475"/>
      <c r="Q341" s="1475"/>
      <c r="R341" s="1475"/>
      <c r="S341" s="3"/>
      <c r="T341" s="3" t="s">
        <v>76</v>
      </c>
      <c r="V341" s="3"/>
      <c r="W341" s="3"/>
      <c r="X341" s="3"/>
      <c r="Y341" s="3"/>
      <c r="AA341" s="1471" t="s">
        <v>2688</v>
      </c>
      <c r="AB341" s="1471"/>
      <c r="AC341" s="1471"/>
      <c r="AD341" s="1471"/>
      <c r="AE341" s="1471"/>
      <c r="AF341" s="1471"/>
      <c r="AG341" s="1475"/>
      <c r="AH341" s="1475"/>
      <c r="AI341" s="1475"/>
      <c r="AJ341" s="1475"/>
      <c r="AK341" s="147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75"/>
      <c r="Q343" s="1475"/>
      <c r="R343" s="1475"/>
      <c r="S343" s="1475"/>
      <c r="T343" s="1475"/>
      <c r="U343" s="1475"/>
      <c r="V343" s="1475"/>
      <c r="W343" s="1475"/>
      <c r="X343" s="1475"/>
      <c r="Y343" s="1475"/>
      <c r="Z343" s="1475"/>
      <c r="AA343" s="1475"/>
      <c r="AB343" s="1475"/>
      <c r="AC343" s="1475"/>
      <c r="AD343" s="1475"/>
      <c r="AE343" s="1475"/>
      <c r="BN343" t="s">
        <v>677</v>
      </c>
    </row>
    <row r="344" spans="1:66" ht="13" customHeight="1">
      <c r="B344" s="4"/>
      <c r="C344" s="4"/>
      <c r="D344" s="4"/>
      <c r="E344" s="4"/>
      <c r="F344" s="4"/>
      <c r="I344" s="4" t="s">
        <v>479</v>
      </c>
      <c r="P344" s="1471"/>
      <c r="Q344" s="1471"/>
      <c r="R344" s="1471"/>
      <c r="S344" s="1471"/>
      <c r="T344" s="1471"/>
      <c r="U344" s="1471"/>
      <c r="V344" s="1471"/>
      <c r="W344" s="1471"/>
      <c r="X344" s="1471"/>
      <c r="Y344" s="1471"/>
      <c r="Z344" s="1471"/>
      <c r="AA344" s="1471"/>
      <c r="AB344" s="1471"/>
      <c r="AC344" s="1471"/>
      <c r="AD344" s="1471"/>
      <c r="AE344" s="1471"/>
      <c r="BN344" t="s">
        <v>553</v>
      </c>
    </row>
    <row r="345" spans="1:66" ht="13" customHeight="1">
      <c r="B345" s="4"/>
      <c r="C345" s="4"/>
      <c r="D345" s="4"/>
      <c r="E345" s="4"/>
      <c r="F345" s="4"/>
      <c r="I345" s="4" t="s">
        <v>75</v>
      </c>
      <c r="P345" s="1471"/>
      <c r="Q345" s="1471"/>
      <c r="R345" s="1471"/>
      <c r="S345" s="1471"/>
      <c r="T345" s="1471"/>
      <c r="U345" s="1471"/>
      <c r="V345" s="1471"/>
      <c r="W345" s="1471"/>
      <c r="X345" s="1471"/>
      <c r="Y345" s="1471"/>
      <c r="Z345" s="1471"/>
      <c r="AA345" s="1471"/>
      <c r="AB345" s="1471"/>
      <c r="AC345" s="1471"/>
      <c r="AD345" s="1471"/>
      <c r="AE345" s="1471"/>
    </row>
    <row r="346" spans="1:66" ht="13" customHeight="1">
      <c r="B346" s="4"/>
      <c r="C346" s="4"/>
      <c r="D346" s="4"/>
      <c r="E346" s="4"/>
      <c r="F346" s="4"/>
      <c r="G346" s="4"/>
      <c r="I346" s="4" t="s">
        <v>87</v>
      </c>
      <c r="P346" s="1471"/>
      <c r="Q346" s="1471"/>
      <c r="R346" s="1471"/>
      <c r="S346" s="1471"/>
      <c r="T346" s="1471"/>
      <c r="U346" s="1471"/>
      <c r="V346" s="1471"/>
      <c r="W346" s="1471"/>
      <c r="X346" s="1471"/>
      <c r="Y346" s="1471"/>
      <c r="Z346" s="1471"/>
      <c r="AA346" s="1471"/>
      <c r="AB346" s="1471"/>
      <c r="AC346" s="1471"/>
      <c r="AD346" s="1471"/>
      <c r="AE346" s="1471"/>
    </row>
    <row r="347" spans="1:66" ht="13" customHeight="1">
      <c r="B347" s="4"/>
      <c r="C347" s="4"/>
      <c r="D347" s="4"/>
      <c r="E347" s="4"/>
      <c r="F347" s="4"/>
      <c r="G347" s="4"/>
      <c r="H347" s="324"/>
      <c r="I347" s="4" t="s">
        <v>88</v>
      </c>
      <c r="P347" s="1474"/>
      <c r="Q347" s="1474"/>
      <c r="R347" s="1474"/>
      <c r="S347" s="1474"/>
      <c r="T347" s="1474"/>
      <c r="U347" s="1474"/>
      <c r="V347" s="1474"/>
      <c r="W347" s="1474"/>
      <c r="X347" s="1474"/>
      <c r="Y347" s="1474"/>
      <c r="Z347" s="1474"/>
      <c r="AA347" s="4" t="s">
        <v>206</v>
      </c>
      <c r="AB347" s="4"/>
      <c r="AC347" s="1476"/>
      <c r="AD347" s="1476"/>
      <c r="AE347" s="1476"/>
      <c r="AF347" s="324"/>
      <c r="AG347" s="4"/>
      <c r="AH347" s="4"/>
      <c r="AI347" s="4"/>
      <c r="AJ347" s="4"/>
      <c r="AK347" s="4"/>
    </row>
    <row r="348" spans="1:66" ht="13" customHeight="1">
      <c r="B348" s="4"/>
      <c r="C348" s="4"/>
      <c r="D348" s="4"/>
      <c r="E348" s="4"/>
      <c r="F348" s="4"/>
      <c r="G348" s="4"/>
      <c r="H348" s="324"/>
      <c r="I348" s="4" t="s">
        <v>89</v>
      </c>
      <c r="P348" s="1474"/>
      <c r="Q348" s="1474"/>
      <c r="R348" s="1474"/>
      <c r="S348" s="1474"/>
      <c r="T348" s="1474"/>
      <c r="U348" s="1474"/>
      <c r="V348" s="1474"/>
      <c r="W348" s="1474"/>
      <c r="X348" s="1474"/>
      <c r="Y348" s="1474"/>
      <c r="Z348" s="1474"/>
      <c r="AF348" s="324"/>
      <c r="AG348" s="4"/>
      <c r="AH348" s="4"/>
      <c r="AI348" s="35"/>
      <c r="AJ348" s="35"/>
      <c r="AK348" s="35"/>
    </row>
    <row r="349" spans="1:66" ht="13" customHeight="1">
      <c r="B349" s="4"/>
      <c r="C349" s="4"/>
      <c r="D349" s="4"/>
      <c r="E349" s="4"/>
      <c r="F349" s="4"/>
      <c r="G349" s="4"/>
      <c r="I349" s="4" t="s">
        <v>76</v>
      </c>
      <c r="P349" s="1475"/>
      <c r="Q349" s="1475"/>
      <c r="R349" s="1475"/>
      <c r="S349" s="1475"/>
      <c r="T349" s="1475"/>
      <c r="U349" s="1475"/>
      <c r="V349" s="1475"/>
      <c r="W349" s="1475"/>
      <c r="X349" s="1475"/>
      <c r="Y349" s="1475"/>
      <c r="Z349" s="1475"/>
      <c r="AA349" s="1475"/>
      <c r="AB349" s="1475"/>
      <c r="AC349" s="1475"/>
      <c r="AD349" s="1475"/>
      <c r="AE349" s="1475"/>
    </row>
    <row r="350" spans="1:66" ht="13" customHeight="1">
      <c r="T350" s="8"/>
      <c r="U350" s="8"/>
      <c r="V350" s="8"/>
      <c r="W350" s="8"/>
      <c r="X350" s="8"/>
      <c r="Y350" s="8"/>
      <c r="Z350" s="8"/>
      <c r="AU350" s="95"/>
      <c r="AV350" s="95"/>
      <c r="AW350" s="95"/>
      <c r="AX350" s="95"/>
      <c r="AY350" s="95"/>
    </row>
    <row r="351" spans="1:66" ht="13" customHeight="1">
      <c r="A351" s="1487" t="s">
        <v>550</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95"/>
      <c r="AV351" s="95"/>
      <c r="AW351" s="95"/>
      <c r="AX351" s="95"/>
      <c r="AY351" s="95"/>
    </row>
    <row r="352" spans="1:66" ht="13"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467" t="s">
        <v>553</v>
      </c>
      <c r="N355" s="1467"/>
      <c r="P355" t="s">
        <v>1763</v>
      </c>
      <c r="AJ355" s="1467" t="s">
        <v>553</v>
      </c>
      <c r="AK355" s="1467"/>
    </row>
    <row r="356" spans="1:46" ht="13" customHeight="1">
      <c r="D356" s="3" t="s">
        <v>1752</v>
      </c>
      <c r="M356" s="1467" t="s">
        <v>599</v>
      </c>
      <c r="N356" s="1467"/>
      <c r="P356" s="3" t="s">
        <v>1909</v>
      </c>
      <c r="AJ356" s="1482"/>
      <c r="AK356" s="1482"/>
    </row>
    <row r="357" spans="1:46" ht="13" customHeight="1">
      <c r="D357" s="3" t="s">
        <v>713</v>
      </c>
      <c r="M357" s="1467" t="s">
        <v>599</v>
      </c>
      <c r="N357" s="1467"/>
      <c r="P357" t="s">
        <v>1762</v>
      </c>
      <c r="AJ357" s="1467" t="s">
        <v>599</v>
      </c>
      <c r="AK357" s="1467"/>
    </row>
    <row r="358" spans="1:46" ht="13" customHeight="1">
      <c r="D358" s="3" t="s">
        <v>714</v>
      </c>
      <c r="M358" s="1467" t="s">
        <v>599</v>
      </c>
      <c r="N358" s="1467"/>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67" t="s">
        <v>599</v>
      </c>
      <c r="O363" s="1467"/>
      <c r="P363" s="40"/>
      <c r="Q363" s="40"/>
      <c r="R363" s="40"/>
      <c r="S363" s="40"/>
      <c r="T363" s="40"/>
      <c r="U363" s="40"/>
      <c r="V363" s="40"/>
      <c r="W363" s="40"/>
      <c r="X363" s="40"/>
      <c r="Y363" s="40"/>
      <c r="Z363" s="40"/>
      <c r="AC363" s="40"/>
      <c r="AD363" s="40"/>
      <c r="AE363" s="40"/>
    </row>
    <row r="364" spans="1:46" ht="13" customHeight="1">
      <c r="E364" t="s">
        <v>370</v>
      </c>
      <c r="Y364" s="1467" t="s">
        <v>599</v>
      </c>
      <c r="Z364" s="1467"/>
    </row>
    <row r="365" spans="1:46" ht="13" customHeight="1">
      <c r="D365" s="4" t="s">
        <v>997</v>
      </c>
      <c r="Q365" s="1475"/>
      <c r="R365" s="1475"/>
      <c r="S365" s="1475"/>
      <c r="T365" s="1475"/>
      <c r="U365" s="1475"/>
      <c r="V365" s="1475"/>
      <c r="W365" s="1475"/>
      <c r="X365" s="1475"/>
      <c r="Y365" s="1475"/>
      <c r="Z365" s="1475"/>
      <c r="AA365" s="1475"/>
      <c r="AB365" s="1475"/>
      <c r="AC365" s="1475"/>
      <c r="AD365" s="1475"/>
      <c r="AE365" s="1475"/>
      <c r="AF365" s="1475"/>
      <c r="AG365" s="1475"/>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67" t="s">
        <v>599</v>
      </c>
      <c r="K367" s="1467"/>
      <c r="L367" s="40"/>
      <c r="M367" s="40"/>
      <c r="N367" s="40"/>
      <c r="O367" s="40"/>
      <c r="P367" s="40"/>
      <c r="Q367" s="40"/>
      <c r="R367" s="40"/>
      <c r="S367" s="40"/>
      <c r="T367" s="40"/>
      <c r="U367" s="40"/>
      <c r="V367" s="40"/>
      <c r="W367" s="40"/>
      <c r="X367" s="40"/>
      <c r="Y367" s="40"/>
      <c r="Z367" s="40"/>
      <c r="AC367" s="40"/>
      <c r="AD367" s="40"/>
      <c r="AE367" s="40"/>
    </row>
    <row r="368" spans="1:46" ht="13" customHeight="1">
      <c r="E368" s="1464" t="s">
        <v>715</v>
      </c>
      <c r="F368" s="1464"/>
      <c r="G368" s="1464"/>
      <c r="H368" s="1464"/>
      <c r="I368" s="1464"/>
      <c r="J368" s="1464"/>
      <c r="K368" s="1464"/>
      <c r="L368" s="1464"/>
      <c r="M368" s="1464"/>
      <c r="N368" s="1464"/>
      <c r="O368" s="1464"/>
      <c r="P368" s="1464"/>
      <c r="Q368" s="1464"/>
      <c r="R368" s="1464"/>
      <c r="S368" s="1464"/>
      <c r="T368" s="1464"/>
      <c r="U368" s="1464"/>
      <c r="V368" s="1464"/>
      <c r="W368" s="1464"/>
      <c r="X368" s="1464"/>
      <c r="Y368" s="1464"/>
      <c r="Z368" s="1464"/>
      <c r="AA368" s="1464"/>
      <c r="AB368" s="1464"/>
      <c r="AC368" s="1464"/>
      <c r="AD368" s="1464"/>
      <c r="AE368" s="1464"/>
      <c r="AF368" s="1464"/>
      <c r="AG368" s="1464"/>
      <c r="AH368" s="1464"/>
    </row>
    <row r="369" spans="1:34" ht="13" customHeight="1">
      <c r="E369" s="1464"/>
      <c r="F369" s="1464"/>
      <c r="G369" s="1464"/>
      <c r="H369" s="1464"/>
      <c r="I369" s="1464"/>
      <c r="J369" s="1464"/>
      <c r="K369" s="1464"/>
      <c r="L369" s="1464"/>
      <c r="M369" s="1464"/>
      <c r="N369" s="1464"/>
      <c r="O369" s="1464"/>
      <c r="P369" s="1464"/>
      <c r="Q369" s="1464"/>
      <c r="R369" s="1464"/>
      <c r="S369" s="1464"/>
      <c r="T369" s="1464"/>
      <c r="U369" s="1464"/>
      <c r="V369" s="1464"/>
      <c r="W369" s="1464"/>
      <c r="X369" s="1464"/>
      <c r="Y369" s="1464"/>
      <c r="Z369" s="1464"/>
      <c r="AA369" s="1464"/>
      <c r="AB369" s="1464"/>
      <c r="AC369" s="1464"/>
      <c r="AD369" s="1464"/>
      <c r="AE369" s="1464"/>
      <c r="AF369" s="1464"/>
      <c r="AG369" s="1464"/>
      <c r="AH369" s="1464"/>
    </row>
    <row r="370" spans="1:34" ht="13" customHeight="1">
      <c r="E370" s="4" t="s">
        <v>456</v>
      </c>
      <c r="F370" s="4"/>
      <c r="G370" s="4"/>
      <c r="H370" s="4"/>
      <c r="I370" s="4"/>
      <c r="J370" s="4"/>
      <c r="K370" s="4"/>
      <c r="L370" s="4"/>
      <c r="N370" s="1668"/>
      <c r="O370" s="1668"/>
      <c r="P370" s="1668"/>
      <c r="Q370" s="1668"/>
      <c r="R370" s="4"/>
      <c r="U370" s="4" t="s">
        <v>457</v>
      </c>
      <c r="V370" s="4"/>
      <c r="W370" s="4"/>
      <c r="X370" s="4"/>
      <c r="Y370" s="4"/>
      <c r="Z370" s="4"/>
      <c r="AA370" s="4"/>
      <c r="AB370" s="4"/>
      <c r="AC370" s="1668"/>
      <c r="AD370" s="1668"/>
      <c r="AE370" s="1668"/>
      <c r="AF370" s="1668"/>
    </row>
    <row r="371" spans="1:34" ht="13" customHeight="1">
      <c r="E371" s="4" t="s">
        <v>458</v>
      </c>
      <c r="F371" s="4"/>
      <c r="G371" s="4"/>
      <c r="H371" s="4"/>
      <c r="I371" s="4"/>
      <c r="J371" s="4"/>
      <c r="K371" s="4"/>
      <c r="L371" s="4"/>
      <c r="N371" s="1668"/>
      <c r="O371" s="1668"/>
      <c r="P371" s="1668"/>
      <c r="Q371" s="1668"/>
      <c r="R371" s="4"/>
      <c r="U371" s="4" t="s">
        <v>0</v>
      </c>
      <c r="V371" s="4"/>
      <c r="W371" s="4"/>
      <c r="X371" s="4"/>
      <c r="Y371" s="4"/>
      <c r="Z371" s="4"/>
      <c r="AA371" s="4"/>
      <c r="AB371" s="4"/>
      <c r="AC371" s="1668"/>
      <c r="AD371" s="1668"/>
      <c r="AE371" s="1668"/>
      <c r="AF371" s="1668"/>
    </row>
    <row r="372" spans="1:34" ht="13" customHeight="1">
      <c r="E372" s="4" t="s">
        <v>1</v>
      </c>
      <c r="F372" s="4"/>
      <c r="G372" s="4"/>
      <c r="H372" s="4"/>
      <c r="I372" s="4"/>
      <c r="J372" s="4"/>
      <c r="K372" s="4"/>
      <c r="L372" s="4"/>
      <c r="N372" s="1668"/>
      <c r="O372" s="1668"/>
      <c r="P372" s="1668"/>
      <c r="Q372" s="1668"/>
      <c r="R372" s="4"/>
      <c r="V372" s="4"/>
      <c r="W372" s="4"/>
      <c r="X372" s="4"/>
      <c r="Y372" s="4"/>
      <c r="Z372" s="4"/>
      <c r="AA372" s="4"/>
      <c r="AB372" s="4"/>
    </row>
    <row r="373" spans="1:34" ht="13"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3"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685"/>
      <c r="T377" s="1685"/>
      <c r="U377" s="1" t="s">
        <v>306</v>
      </c>
      <c r="V377" s="1685"/>
      <c r="W377" s="1685"/>
      <c r="Y377" t="s">
        <v>2396</v>
      </c>
      <c r="AC377" s="27" t="s">
        <v>305</v>
      </c>
      <c r="AD377" s="1685"/>
      <c r="AE377" s="1685"/>
      <c r="AF377" s="1" t="s">
        <v>306</v>
      </c>
      <c r="AG377" s="1685"/>
      <c r="AH377" s="1685"/>
    </row>
    <row r="378" spans="1:34" ht="13" customHeight="1">
      <c r="E378" s="4" t="s">
        <v>1011</v>
      </c>
      <c r="F378" s="4"/>
      <c r="G378" s="4"/>
      <c r="H378" s="4"/>
      <c r="I378" s="4"/>
      <c r="J378" s="4"/>
      <c r="K378" s="4"/>
      <c r="L378" s="4"/>
      <c r="N378" s="1685"/>
      <c r="O378" s="1685"/>
      <c r="P378" s="1685"/>
    </row>
    <row r="379" spans="1:34" ht="13" customHeight="1">
      <c r="E379" s="218" t="s">
        <v>2402</v>
      </c>
      <c r="F379" s="4"/>
      <c r="G379" s="4"/>
      <c r="H379" s="4"/>
      <c r="I379" s="4"/>
      <c r="J379" s="4"/>
      <c r="K379" s="4"/>
      <c r="L379" s="4"/>
      <c r="AG379" s="1690" t="s">
        <v>599</v>
      </c>
      <c r="AH379" s="1690"/>
    </row>
    <row r="380" spans="1:34" ht="13" customHeight="1">
      <c r="E380" s="4"/>
      <c r="F380" s="4"/>
      <c r="G380" s="4" t="s">
        <v>2403</v>
      </c>
      <c r="H380" s="4"/>
      <c r="I380" s="4"/>
      <c r="J380" s="4"/>
      <c r="K380" s="4"/>
      <c r="L380" s="4"/>
      <c r="AG380" s="1690" t="s">
        <v>599</v>
      </c>
      <c r="AH380" s="1690"/>
    </row>
    <row r="381" spans="1:34" ht="13" customHeight="1">
      <c r="E381" s="4"/>
      <c r="F381" s="4"/>
      <c r="G381" s="348" t="s">
        <v>1012</v>
      </c>
      <c r="H381" s="4"/>
      <c r="I381" s="4"/>
      <c r="J381" s="4"/>
      <c r="K381" s="4"/>
      <c r="L381" s="4"/>
      <c r="V381" s="1467" t="s">
        <v>599</v>
      </c>
      <c r="W381" s="1467"/>
      <c r="Y381" s="22" t="s">
        <v>999</v>
      </c>
    </row>
    <row r="382" spans="1:34" ht="13" customHeight="1">
      <c r="E382" s="4" t="s">
        <v>1000</v>
      </c>
      <c r="F382" s="4"/>
      <c r="G382" s="4"/>
      <c r="H382" s="4"/>
      <c r="I382" s="4"/>
      <c r="J382" s="4"/>
      <c r="K382" s="4"/>
      <c r="L382" s="4"/>
      <c r="V382" s="1467" t="s">
        <v>599</v>
      </c>
      <c r="W382" s="1467"/>
      <c r="Y382" s="4" t="s">
        <v>1001</v>
      </c>
    </row>
    <row r="383" spans="1:34" ht="13" customHeight="1"/>
    <row r="384" spans="1:34" ht="13" customHeight="1">
      <c r="A384" s="2" t="s">
        <v>78</v>
      </c>
      <c r="B384" s="2"/>
    </row>
    <row r="385" spans="4:36" ht="13" customHeight="1">
      <c r="D385" t="s">
        <v>428</v>
      </c>
      <c r="J385" s="1475" t="s">
        <v>2713</v>
      </c>
      <c r="K385" s="1475"/>
      <c r="L385" s="1475"/>
      <c r="M385" s="1475"/>
      <c r="N385" s="1475"/>
      <c r="O385" s="1475"/>
      <c r="P385" s="1475"/>
      <c r="Q385" s="1475"/>
      <c r="R385" s="1475"/>
      <c r="S385" s="1475"/>
      <c r="T385" s="1475"/>
      <c r="U385" s="1475"/>
      <c r="V385" s="8" t="s">
        <v>83</v>
      </c>
      <c r="W385" s="8"/>
      <c r="X385" s="8"/>
      <c r="Y385" s="8"/>
      <c r="Z385" s="8"/>
      <c r="AA385" s="8"/>
      <c r="AB385" s="8"/>
      <c r="AC385" s="1465" t="s">
        <v>2677</v>
      </c>
      <c r="AD385" s="1475"/>
      <c r="AE385" s="1475"/>
      <c r="AF385" s="1475"/>
      <c r="AG385" s="1475"/>
      <c r="AH385" s="1475"/>
      <c r="AI385" s="1475"/>
      <c r="AJ385" s="1475"/>
    </row>
    <row r="386" spans="4:36" ht="13" customHeight="1">
      <c r="D386" s="3" t="s">
        <v>1288</v>
      </c>
      <c r="J386" s="1698" t="s">
        <v>2677</v>
      </c>
      <c r="K386" s="1471"/>
      <c r="L386" s="1471"/>
      <c r="M386" s="1471"/>
      <c r="N386" s="1471"/>
      <c r="O386" s="1471"/>
      <c r="P386" s="1471"/>
      <c r="Q386" s="1471"/>
      <c r="R386" s="1471"/>
      <c r="S386" s="1471"/>
      <c r="T386" s="1471"/>
      <c r="U386" s="1471"/>
      <c r="V386" s="3" t="s">
        <v>1288</v>
      </c>
      <c r="W386" s="8"/>
      <c r="X386" s="8"/>
      <c r="Y386" s="8"/>
      <c r="Z386" s="8"/>
      <c r="AA386" s="8"/>
      <c r="AB386" s="8"/>
      <c r="AC386" s="1475"/>
      <c r="AD386" s="1475"/>
      <c r="AE386" s="1475"/>
      <c r="AF386" s="1475"/>
      <c r="AG386" s="1475"/>
      <c r="AH386" s="1475"/>
      <c r="AI386" s="1475"/>
      <c r="AJ386" s="1475"/>
    </row>
    <row r="387" spans="4:36" ht="13" customHeight="1">
      <c r="D387" s="3" t="s">
        <v>443</v>
      </c>
      <c r="J387" s="1471"/>
      <c r="K387" s="1471"/>
      <c r="L387" s="1471"/>
      <c r="M387" s="1471"/>
      <c r="N387" s="1471"/>
      <c r="O387" s="1471"/>
      <c r="P387" s="1471"/>
      <c r="Q387" s="1471"/>
      <c r="R387" s="1471"/>
      <c r="S387" s="1471"/>
      <c r="T387" s="1471"/>
      <c r="U387" s="1471"/>
      <c r="V387" s="3" t="s">
        <v>443</v>
      </c>
      <c r="W387" s="8"/>
      <c r="X387" s="8"/>
      <c r="Y387" s="8"/>
      <c r="Z387" s="8"/>
      <c r="AA387" s="8"/>
      <c r="AB387" s="8"/>
      <c r="AC387" s="1475" t="s">
        <v>2714</v>
      </c>
      <c r="AD387" s="1475"/>
      <c r="AE387" s="1475"/>
      <c r="AF387" s="1475"/>
      <c r="AG387" s="1475"/>
      <c r="AH387" s="1475"/>
      <c r="AI387" s="1475"/>
      <c r="AJ387" s="1475"/>
    </row>
    <row r="388" spans="4:36" ht="13" customHeight="1">
      <c r="D388" t="s">
        <v>1284</v>
      </c>
      <c r="J388" s="1359" t="s">
        <v>2715</v>
      </c>
      <c r="K388" s="1359"/>
      <c r="L388" s="1359"/>
      <c r="M388" s="1359"/>
      <c r="N388" s="1359"/>
      <c r="O388" s="1359"/>
      <c r="P388" s="1359"/>
      <c r="Q388" s="1359"/>
      <c r="R388" s="1359"/>
      <c r="S388" s="1359"/>
      <c r="T388" s="1359"/>
      <c r="U388" s="1359"/>
      <c r="V388" s="1475"/>
      <c r="W388" s="1475"/>
      <c r="X388" s="1475"/>
      <c r="Y388" s="1475"/>
      <c r="Z388" s="1475"/>
      <c r="AA388" s="1475"/>
      <c r="AB388" s="1475"/>
      <c r="AC388" s="1475"/>
      <c r="AD388" s="1475"/>
      <c r="AE388" s="1475"/>
      <c r="AF388" s="1475"/>
      <c r="AG388" s="1475"/>
      <c r="AH388" s="1475"/>
      <c r="AI388" s="1475"/>
      <c r="AJ388" s="1475"/>
    </row>
    <row r="389" spans="4:36" ht="13" customHeight="1">
      <c r="D389" t="s">
        <v>4</v>
      </c>
      <c r="Q389" s="1689">
        <v>45383</v>
      </c>
      <c r="R389" s="1689"/>
      <c r="S389" s="1689"/>
      <c r="T389" s="1689"/>
      <c r="U389" s="1689"/>
      <c r="V389" t="s">
        <v>309</v>
      </c>
      <c r="AI389" s="1467" t="s">
        <v>677</v>
      </c>
      <c r="AJ389" s="1467"/>
    </row>
    <row r="390" spans="4:36" ht="13" customHeight="1">
      <c r="D390" t="s">
        <v>5</v>
      </c>
      <c r="Q390" s="1564">
        <v>45748</v>
      </c>
      <c r="R390" s="1686"/>
      <c r="S390" s="1686"/>
      <c r="T390" s="1686"/>
      <c r="U390" s="1686"/>
      <c r="W390" s="21" t="s">
        <v>74</v>
      </c>
      <c r="AG390" s="1683"/>
      <c r="AH390" s="1683"/>
      <c r="AI390" s="1683"/>
      <c r="AJ390" s="1683"/>
    </row>
    <row r="391" spans="4:36" ht="13" customHeight="1">
      <c r="D391" t="s">
        <v>427</v>
      </c>
      <c r="Q391" s="1684">
        <v>4425000</v>
      </c>
      <c r="R391" s="1684"/>
      <c r="S391" s="1684"/>
      <c r="T391" s="1684"/>
      <c r="U391" s="1684"/>
      <c r="V391" s="3" t="s">
        <v>1287</v>
      </c>
      <c r="AG391" s="1839">
        <v>45689</v>
      </c>
      <c r="AH391" s="1839"/>
      <c r="AI391" s="1839"/>
      <c r="AJ391" s="1839"/>
    </row>
    <row r="392" spans="4:36" ht="13" customHeight="1">
      <c r="D392" t="s">
        <v>88</v>
      </c>
      <c r="I392" s="1714"/>
      <c r="J392" s="1714"/>
      <c r="K392" s="1714"/>
      <c r="L392" s="1714"/>
      <c r="M392" s="1714"/>
      <c r="N392" s="1714"/>
      <c r="Q392" s="4" t="s">
        <v>206</v>
      </c>
      <c r="S392" s="1688"/>
      <c r="T392" s="1688"/>
      <c r="U392" s="1688"/>
      <c r="V392" t="s">
        <v>73</v>
      </c>
      <c r="AI392" s="1467" t="s">
        <v>677</v>
      </c>
      <c r="AJ392" s="1467"/>
    </row>
    <row r="393" spans="4:36" ht="13" customHeight="1">
      <c r="D393" t="s">
        <v>310</v>
      </c>
      <c r="Q393" s="1356"/>
      <c r="R393" s="1356"/>
      <c r="S393" s="1356"/>
      <c r="T393" s="1356"/>
      <c r="U393" s="1356"/>
      <c r="V393" t="s">
        <v>311</v>
      </c>
      <c r="AG393" s="1683">
        <v>58000</v>
      </c>
      <c r="AH393" s="1683"/>
      <c r="AI393" s="1683"/>
      <c r="AJ393" s="1683"/>
    </row>
    <row r="394" spans="4:36" ht="13" customHeight="1">
      <c r="D394" t="s">
        <v>312</v>
      </c>
      <c r="Q394" s="1774"/>
      <c r="R394" s="1774"/>
      <c r="S394" s="1774"/>
      <c r="T394" s="1774"/>
      <c r="U394" s="1774"/>
      <c r="V394" t="s">
        <v>1268</v>
      </c>
      <c r="AG394" s="1683"/>
      <c r="AH394" s="1683"/>
      <c r="AI394" s="1683"/>
      <c r="AJ394" s="1683"/>
    </row>
    <row r="395" spans="4:36" ht="13" customHeight="1">
      <c r="D395" t="s">
        <v>1267</v>
      </c>
      <c r="AG395" s="1683"/>
      <c r="AH395" s="1683"/>
      <c r="AI395" s="1683"/>
      <c r="AJ395" s="1683"/>
    </row>
    <row r="396" spans="4:36" ht="13" customHeight="1">
      <c r="AG396" s="490"/>
      <c r="AH396" s="490"/>
      <c r="AI396" s="490"/>
      <c r="AJ396" s="490"/>
    </row>
    <row r="397" spans="4:36" ht="13" customHeight="1">
      <c r="D397" s="3" t="s">
        <v>2502</v>
      </c>
      <c r="AG397" s="490"/>
      <c r="AH397" s="490"/>
      <c r="AI397" s="1467" t="s">
        <v>677</v>
      </c>
      <c r="AJ397" s="1467"/>
    </row>
    <row r="398" spans="4:36" ht="13" customHeight="1">
      <c r="D398" s="3" t="s">
        <v>1781</v>
      </c>
      <c r="T398" s="1782"/>
      <c r="U398" s="1782"/>
      <c r="V398" s="1782"/>
      <c r="W398" s="1782"/>
      <c r="X398" s="1782"/>
      <c r="Y398" s="1782"/>
      <c r="Z398" s="1782"/>
      <c r="AA398" s="1782"/>
      <c r="AB398" s="1782"/>
      <c r="AC398" s="1782"/>
      <c r="AD398" s="1782"/>
      <c r="AE398" s="1782"/>
      <c r="AF398" s="1782"/>
      <c r="AG398" s="1782"/>
      <c r="AH398" s="1782"/>
      <c r="AI398" s="1782"/>
      <c r="AJ398" s="1782"/>
    </row>
    <row r="399" spans="4:36" ht="13" customHeight="1">
      <c r="D399" s="3" t="s">
        <v>1780</v>
      </c>
      <c r="T399" s="1782"/>
      <c r="U399" s="1782"/>
      <c r="V399" s="1782"/>
      <c r="W399" s="1782"/>
      <c r="X399" s="1782"/>
      <c r="Y399" s="1782"/>
      <c r="Z399" s="1782"/>
      <c r="AA399" s="1782"/>
      <c r="AB399" s="1782"/>
      <c r="AC399" s="1782"/>
      <c r="AD399" s="1782"/>
      <c r="AE399" s="1782"/>
      <c r="AF399" s="1782"/>
      <c r="AG399" s="1782"/>
      <c r="AH399" s="1782"/>
      <c r="AI399" s="1782"/>
      <c r="AJ399" s="1782"/>
    </row>
    <row r="400" spans="4:36" ht="13" customHeight="1">
      <c r="AG400" s="490"/>
      <c r="AH400" s="490"/>
      <c r="AI400" s="490"/>
      <c r="AJ400" s="490"/>
    </row>
    <row r="401" spans="1:36" ht="13" customHeight="1">
      <c r="D401" s="3" t="s">
        <v>1774</v>
      </c>
      <c r="S401" s="1782" t="s">
        <v>677</v>
      </c>
      <c r="T401" s="1782"/>
      <c r="U401" s="1782"/>
      <c r="V401" t="s">
        <v>1775</v>
      </c>
      <c r="AG401" s="1838"/>
      <c r="AH401" s="1838"/>
      <c r="AI401" s="1838"/>
      <c r="AJ401" s="1838"/>
    </row>
    <row r="402" spans="1:36" ht="13" customHeight="1">
      <c r="D402" s="3" t="s">
        <v>1772</v>
      </c>
      <c r="S402" s="1782" t="s">
        <v>599</v>
      </c>
      <c r="T402" s="1782"/>
      <c r="U402" s="1782"/>
      <c r="V402" t="s">
        <v>1777</v>
      </c>
      <c r="AE402" s="1822"/>
      <c r="AF402" s="1822"/>
      <c r="AG402" s="1822"/>
      <c r="AH402" s="1822"/>
      <c r="AI402" s="1822"/>
      <c r="AJ402" s="1822"/>
    </row>
    <row r="403" spans="1:36" ht="13" customHeight="1">
      <c r="D403" s="3" t="s">
        <v>1773</v>
      </c>
      <c r="K403" s="1829"/>
      <c r="L403" s="1829"/>
      <c r="M403" s="1829"/>
      <c r="N403" s="1829"/>
      <c r="O403" s="1829"/>
      <c r="P403" s="1829"/>
      <c r="Q403" s="1829"/>
      <c r="R403" s="1829"/>
      <c r="S403" s="1829"/>
      <c r="T403" s="1829"/>
      <c r="U403" s="1829"/>
      <c r="V403" s="1829"/>
      <c r="W403" s="1829"/>
      <c r="X403" s="1829"/>
      <c r="Y403" s="1829"/>
      <c r="Z403" s="1829"/>
      <c r="AA403" s="1829"/>
      <c r="AB403" s="1829"/>
      <c r="AC403" s="1829"/>
      <c r="AD403" s="1829"/>
      <c r="AE403" s="1829"/>
      <c r="AF403" s="1829"/>
      <c r="AG403" s="1829"/>
      <c r="AH403" s="1829"/>
      <c r="AI403" s="1829"/>
      <c r="AJ403" s="1829"/>
    </row>
    <row r="404" spans="1:36" ht="13" customHeight="1">
      <c r="D404" s="3" t="s">
        <v>1776</v>
      </c>
      <c r="K404" s="1829"/>
      <c r="L404" s="1829"/>
      <c r="M404" s="1829"/>
      <c r="N404" s="1829"/>
      <c r="O404" s="1829"/>
      <c r="P404" s="1829"/>
      <c r="Q404" s="1829"/>
      <c r="R404" s="1829"/>
      <c r="S404" s="1829"/>
      <c r="T404" s="1829"/>
      <c r="U404" s="1829"/>
      <c r="V404" s="1829"/>
      <c r="W404" s="1829"/>
      <c r="X404" s="1829"/>
      <c r="Y404" s="1829"/>
      <c r="Z404" s="1829"/>
      <c r="AA404" s="1829"/>
      <c r="AB404" s="1829"/>
      <c r="AC404" s="1829"/>
      <c r="AD404" s="1829"/>
      <c r="AE404" s="1829"/>
      <c r="AF404" s="1829"/>
      <c r="AG404" s="1829"/>
      <c r="AH404" s="1829"/>
      <c r="AI404" s="1829"/>
      <c r="AJ404" s="1829"/>
    </row>
    <row r="405" spans="1:36" ht="13" customHeight="1">
      <c r="D405" s="3" t="s">
        <v>1779</v>
      </c>
      <c r="E405" s="511"/>
      <c r="F405" s="511"/>
      <c r="G405" s="511"/>
      <c r="H405" s="511"/>
      <c r="I405" s="511"/>
      <c r="J405" s="511"/>
      <c r="K405" s="511"/>
      <c r="L405" s="511"/>
      <c r="M405" s="511"/>
      <c r="N405" s="511"/>
      <c r="O405" s="511"/>
      <c r="P405" s="511"/>
      <c r="Q405" s="511"/>
      <c r="R405" s="511"/>
      <c r="S405" s="1780" t="s">
        <v>1290</v>
      </c>
      <c r="T405" s="1780"/>
      <c r="U405" s="1780"/>
      <c r="V405" s="1780"/>
      <c r="W405" s="1780"/>
      <c r="X405" s="1780"/>
      <c r="Y405" s="1780"/>
      <c r="Z405" s="1780"/>
      <c r="AA405" s="1780"/>
      <c r="AB405" s="1780"/>
      <c r="AC405" s="1780"/>
      <c r="AD405" s="1780"/>
      <c r="AE405" s="1780"/>
      <c r="AF405" s="1780"/>
      <c r="AG405" s="1780"/>
      <c r="AH405" s="1780"/>
      <c r="AI405" s="1780"/>
      <c r="AJ405" s="1780"/>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65" t="s">
        <v>2668</v>
      </c>
      <c r="J410" s="1465"/>
      <c r="K410" s="1465"/>
      <c r="L410" s="1465"/>
      <c r="M410" s="1465"/>
      <c r="N410" s="1465"/>
      <c r="O410" s="1465"/>
      <c r="P410" s="1465"/>
      <c r="Q410" s="1465"/>
      <c r="R410" s="1465"/>
      <c r="S410" s="1465"/>
      <c r="T410" s="1465"/>
      <c r="U410" s="1465"/>
      <c r="V410" s="1465"/>
      <c r="W410" s="1465"/>
      <c r="X410" s="1465"/>
      <c r="Y410" s="1465"/>
      <c r="Z410" s="1465"/>
      <c r="AA410" s="1465"/>
      <c r="AB410" s="1465"/>
      <c r="AC410" s="1465"/>
      <c r="AD410" s="1465"/>
      <c r="AE410" s="1465"/>
    </row>
    <row r="411" spans="1:36" ht="13" customHeight="1">
      <c r="E411" t="s">
        <v>106</v>
      </c>
      <c r="R411" s="1467" t="s">
        <v>553</v>
      </c>
      <c r="S411" s="1467"/>
      <c r="AC411" s="27" t="s">
        <v>578</v>
      </c>
      <c r="AD411" s="1668">
        <v>8</v>
      </c>
      <c r="AE411" s="1668"/>
    </row>
    <row r="412" spans="1:36" ht="13" customHeight="1">
      <c r="E412" t="s">
        <v>107</v>
      </c>
      <c r="R412" s="1467" t="s">
        <v>599</v>
      </c>
      <c r="S412" s="1467"/>
      <c r="AC412" s="27" t="s">
        <v>578</v>
      </c>
      <c r="AD412" s="1668"/>
      <c r="AE412" s="1668"/>
    </row>
    <row r="413" spans="1:36" ht="13" customHeight="1">
      <c r="E413" t="s">
        <v>108</v>
      </c>
      <c r="S413" s="1467" t="s">
        <v>599</v>
      </c>
      <c r="T413" s="1467"/>
    </row>
    <row r="414" spans="1:36" ht="13" customHeight="1">
      <c r="E414" t="s">
        <v>169</v>
      </c>
      <c r="H414" s="1827" t="s">
        <v>334</v>
      </c>
      <c r="I414" s="1827"/>
      <c r="J414" s="1827"/>
      <c r="K414" s="1827"/>
      <c r="L414" s="1827"/>
      <c r="M414" s="1827"/>
      <c r="N414" s="1827"/>
      <c r="O414" s="1827"/>
      <c r="P414" s="1827"/>
      <c r="Q414" s="1827"/>
      <c r="R414" s="1827"/>
      <c r="S414" s="1827"/>
      <c r="T414" s="1827"/>
      <c r="U414" s="1827"/>
      <c r="V414" s="1827"/>
      <c r="W414" s="1827"/>
      <c r="X414" s="1827"/>
      <c r="Y414" s="1827"/>
      <c r="Z414" s="1827"/>
      <c r="AA414" s="1827"/>
      <c r="AB414" s="1827"/>
      <c r="AC414" s="1827"/>
      <c r="AD414" s="1827"/>
      <c r="AE414" s="1827"/>
    </row>
    <row r="415" spans="1:36" ht="13" customHeight="1">
      <c r="H415" s="1828"/>
      <c r="I415" s="1828"/>
      <c r="J415" s="1828"/>
      <c r="K415" s="1828"/>
      <c r="L415" s="1828"/>
      <c r="M415" s="1828"/>
      <c r="N415" s="1828"/>
      <c r="O415" s="1828"/>
      <c r="P415" s="1828"/>
      <c r="Q415" s="1828"/>
      <c r="R415" s="1828"/>
      <c r="S415" s="1828"/>
      <c r="T415" s="1828"/>
      <c r="U415" s="1828"/>
      <c r="V415" s="1828"/>
      <c r="W415" s="1828"/>
      <c r="X415" s="1828"/>
      <c r="Y415" s="1828"/>
      <c r="Z415" s="1828"/>
      <c r="AA415" s="1828"/>
      <c r="AB415" s="1828"/>
      <c r="AC415" s="1828"/>
      <c r="AD415" s="1828"/>
      <c r="AE415" s="1828"/>
    </row>
    <row r="416" spans="1:36" ht="13" customHeight="1"/>
    <row r="417" spans="1:39" ht="13" customHeight="1">
      <c r="A417" s="2" t="s">
        <v>598</v>
      </c>
      <c r="B417" s="2"/>
      <c r="C417" s="2"/>
      <c r="D417" s="2" t="s">
        <v>114</v>
      </c>
      <c r="AF417" s="2" t="s">
        <v>976</v>
      </c>
    </row>
    <row r="418" spans="1:39" ht="13" customHeight="1">
      <c r="E418" s="1685"/>
      <c r="F418" s="1685"/>
      <c r="G418" s="1685"/>
      <c r="H418" s="13" t="s">
        <v>115</v>
      </c>
      <c r="I418" s="1685"/>
      <c r="J418" s="1685"/>
      <c r="K418" s="1685"/>
      <c r="L418" t="s">
        <v>116</v>
      </c>
      <c r="N418" s="27" t="s">
        <v>583</v>
      </c>
      <c r="P418" s="1687">
        <f>(6880+10320+3440)/43560</f>
        <v>0.47382920110192839</v>
      </c>
      <c r="Q418" s="1687"/>
      <c r="R418" s="1687"/>
      <c r="S418" t="s">
        <v>117</v>
      </c>
      <c r="W418" s="1864">
        <f>IF(E418&gt;0,(E418*I418),(P418*43560))</f>
        <v>20640</v>
      </c>
      <c r="X418" s="1864"/>
      <c r="Y418" s="1864"/>
      <c r="Z418" t="s">
        <v>118</v>
      </c>
      <c r="AF418" s="1710">
        <f>IFERROR(IF(P418&gt;0,(AG437/P418),(AG437/(W418/43560))),0)</f>
        <v>173.05813953488371</v>
      </c>
      <c r="AG418" s="1710"/>
      <c r="AH418" s="1710"/>
      <c r="AM418" s="3"/>
    </row>
    <row r="419" spans="1:39" ht="13" customHeight="1">
      <c r="E419" t="s">
        <v>51</v>
      </c>
    </row>
    <row r="420" spans="1:39" ht="13" customHeight="1">
      <c r="E420" s="1846"/>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c r="AC420" s="1846"/>
      <c r="AD420" s="1846"/>
      <c r="AE420" s="1846"/>
      <c r="AF420" s="1846"/>
      <c r="AG420" s="1846"/>
      <c r="AH420" s="1846"/>
      <c r="AI420" s="1846"/>
      <c r="AJ420" s="1846"/>
    </row>
    <row r="421" spans="1:39" ht="13" customHeight="1">
      <c r="E421" s="118" t="s">
        <v>1926</v>
      </c>
      <c r="F421" s="1048"/>
      <c r="G421" s="1048"/>
      <c r="H421" s="1048"/>
      <c r="I421" s="1865"/>
      <c r="J421" s="1865"/>
      <c r="K421" s="1865"/>
      <c r="L421" s="1048"/>
      <c r="M421" s="118"/>
      <c r="N421" s="1048"/>
      <c r="O421" s="1048"/>
      <c r="P421" s="1649" t="e">
        <f>(CS634+CS642+CS658)/I421</f>
        <v>#DIV/0!</v>
      </c>
      <c r="Q421" s="1649"/>
      <c r="R421" s="1649"/>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67">
        <v>1</v>
      </c>
      <c r="Q424" s="1467"/>
      <c r="S424" t="s">
        <v>189</v>
      </c>
      <c r="AE424" s="1467">
        <v>0</v>
      </c>
      <c r="AF424" s="1467"/>
    </row>
    <row r="425" spans="1:39" ht="13" customHeight="1">
      <c r="E425" t="s">
        <v>190</v>
      </c>
      <c r="P425" s="1467">
        <v>0</v>
      </c>
      <c r="Q425" s="1467"/>
      <c r="S425" t="s">
        <v>131</v>
      </c>
      <c r="AE425" s="1467" t="s">
        <v>553</v>
      </c>
      <c r="AF425" s="1467"/>
    </row>
    <row r="426" spans="1:39" ht="13" customHeight="1">
      <c r="F426" s="28" t="s">
        <v>132</v>
      </c>
    </row>
    <row r="427" spans="1:39" ht="13" customHeight="1">
      <c r="F427" s="1845" t="s">
        <v>2669</v>
      </c>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3" customHeight="1">
      <c r="F428" s="1637"/>
      <c r="G428" s="1637"/>
      <c r="H428" s="1637"/>
      <c r="I428" s="1637"/>
      <c r="J428" s="1637"/>
      <c r="K428" s="1637"/>
      <c r="L428" s="1637"/>
      <c r="M428" s="1637"/>
      <c r="N428" s="1637"/>
      <c r="O428" s="1637"/>
      <c r="P428" s="1637"/>
      <c r="Q428" s="1637"/>
      <c r="R428" s="1637"/>
      <c r="S428" s="1637"/>
      <c r="T428" s="1637"/>
      <c r="U428" s="1637"/>
      <c r="V428" s="1637"/>
      <c r="W428" s="1637"/>
      <c r="X428" s="1637"/>
      <c r="Y428" s="1637"/>
      <c r="Z428" s="1637"/>
      <c r="AA428" s="1637"/>
      <c r="AB428" s="1637"/>
      <c r="AC428" s="1637"/>
      <c r="AD428" s="1637"/>
      <c r="AE428" s="1637"/>
      <c r="AF428" s="1637"/>
      <c r="AG428" s="1637"/>
      <c r="AH428" s="1637"/>
    </row>
    <row r="429" spans="1:39" ht="13" customHeight="1">
      <c r="E429" t="s">
        <v>616</v>
      </c>
      <c r="P429" s="1"/>
      <c r="Q429" s="1467" t="s">
        <v>677</v>
      </c>
      <c r="R429" s="1467"/>
    </row>
    <row r="430" spans="1:39" ht="13" customHeight="1">
      <c r="F430" t="s">
        <v>617</v>
      </c>
      <c r="P430" s="1"/>
      <c r="Q430" s="1"/>
      <c r="AF430" s="1467" t="s">
        <v>599</v>
      </c>
      <c r="AG430" s="1874"/>
    </row>
    <row r="431" spans="1:39" ht="13" customHeight="1"/>
    <row r="432" spans="1:39" ht="13" customHeight="1">
      <c r="A432" s="2"/>
      <c r="B432" s="2"/>
      <c r="C432" s="2"/>
      <c r="E432" s="4" t="s">
        <v>308</v>
      </c>
      <c r="Z432" s="1467" t="s">
        <v>677</v>
      </c>
      <c r="AA432" s="1467"/>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67" t="s">
        <v>599</v>
      </c>
      <c r="AA434" s="1467"/>
    </row>
    <row r="435" spans="1:110" ht="13" customHeight="1"/>
    <row r="436" spans="1:110" ht="13" customHeight="1">
      <c r="A436" s="2" t="s">
        <v>475</v>
      </c>
      <c r="B436" s="2"/>
      <c r="C436" s="2"/>
      <c r="D436" s="2" t="s">
        <v>773</v>
      </c>
      <c r="AF436" s="48"/>
    </row>
    <row r="437" spans="1:110" ht="13" customHeight="1">
      <c r="D437" s="1631" t="s">
        <v>43</v>
      </c>
      <c r="E437" s="1632"/>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842"/>
      <c r="AG437" s="1835">
        <v>82</v>
      </c>
      <c r="AH437" s="1835"/>
      <c r="AI437" s="1835"/>
      <c r="AJ437" s="1835"/>
    </row>
    <row r="438" spans="1:110" ht="13" customHeight="1">
      <c r="D438" s="1691" t="s">
        <v>1329</v>
      </c>
      <c r="E438" s="1692"/>
      <c r="F438" s="1692"/>
      <c r="G438" s="1692"/>
      <c r="H438" s="1692"/>
      <c r="I438" s="1692"/>
      <c r="J438" s="1692"/>
      <c r="K438" s="1692"/>
      <c r="L438" s="1692"/>
      <c r="M438" s="1692"/>
      <c r="N438" s="1692"/>
      <c r="O438" s="1692"/>
      <c r="P438" s="1692"/>
      <c r="Q438" s="1692"/>
      <c r="R438" s="1692"/>
      <c r="S438" s="1692"/>
      <c r="T438" s="1692"/>
      <c r="U438" s="1692"/>
      <c r="V438" s="1692"/>
      <c r="W438" s="1692"/>
      <c r="X438" s="1692"/>
      <c r="Y438" s="1692"/>
      <c r="Z438" s="1692"/>
      <c r="AA438" s="1692"/>
      <c r="AB438" s="1692"/>
      <c r="AC438" s="1692"/>
      <c r="AD438" s="1692"/>
      <c r="AE438" s="1692"/>
      <c r="AF438" s="1693"/>
      <c r="AG438" s="1866"/>
      <c r="AH438" s="1426"/>
      <c r="AI438" s="1426"/>
      <c r="AJ438" s="1426"/>
    </row>
    <row r="439" spans="1:110" ht="13" customHeight="1">
      <c r="D439" s="1691" t="s">
        <v>1055</v>
      </c>
      <c r="E439" s="1692"/>
      <c r="F439" s="1692"/>
      <c r="G439" s="1692"/>
      <c r="H439" s="1692"/>
      <c r="I439" s="1692"/>
      <c r="J439" s="1692"/>
      <c r="K439" s="1692"/>
      <c r="L439" s="1692"/>
      <c r="M439" s="1692"/>
      <c r="N439" s="1692"/>
      <c r="O439" s="1692"/>
      <c r="P439" s="1692"/>
      <c r="Q439" s="1692"/>
      <c r="R439" s="1692"/>
      <c r="S439" s="1692"/>
      <c r="T439" s="1692"/>
      <c r="U439" s="1692"/>
      <c r="V439" s="1692"/>
      <c r="W439" s="1692"/>
      <c r="X439" s="1692"/>
      <c r="Y439" s="1692"/>
      <c r="Z439" s="1692"/>
      <c r="AA439" s="1692"/>
      <c r="AB439" s="1692"/>
      <c r="AC439" s="1692"/>
      <c r="AD439" s="1692"/>
      <c r="AE439" s="1692"/>
      <c r="AF439" s="1693"/>
      <c r="AG439" s="1835">
        <v>81</v>
      </c>
      <c r="AH439" s="1835"/>
      <c r="AI439" s="1835"/>
      <c r="AJ439" s="1835"/>
    </row>
    <row r="440" spans="1:110" ht="13" customHeight="1">
      <c r="D440" s="1691" t="s">
        <v>1056</v>
      </c>
      <c r="E440" s="1692"/>
      <c r="F440" s="1692"/>
      <c r="G440" s="1692"/>
      <c r="H440" s="1692"/>
      <c r="I440" s="1692"/>
      <c r="J440" s="1692"/>
      <c r="K440" s="1692"/>
      <c r="L440" s="1692"/>
      <c r="M440" s="1692"/>
      <c r="N440" s="1692"/>
      <c r="O440" s="1692"/>
      <c r="P440" s="1692"/>
      <c r="Q440" s="1692"/>
      <c r="R440" s="1692"/>
      <c r="S440" s="1692"/>
      <c r="T440" s="1692"/>
      <c r="U440" s="1692"/>
      <c r="V440" s="1692"/>
      <c r="W440" s="1692"/>
      <c r="X440" s="1692"/>
      <c r="Y440" s="1692"/>
      <c r="Z440" s="1692"/>
      <c r="AA440" s="1692"/>
      <c r="AB440" s="1692"/>
      <c r="AC440" s="1692"/>
      <c r="AD440" s="1692"/>
      <c r="AE440" s="1692"/>
      <c r="AF440" s="1693"/>
      <c r="AG440" s="1835">
        <v>81</v>
      </c>
      <c r="AH440" s="1835"/>
      <c r="AI440" s="1835"/>
      <c r="AJ440" s="1835"/>
    </row>
    <row r="441" spans="1:110" ht="13" customHeight="1">
      <c r="D441" s="1691" t="s">
        <v>1058</v>
      </c>
      <c r="E441" s="1692"/>
      <c r="F441" s="1692"/>
      <c r="G441" s="1692"/>
      <c r="H441" s="1692"/>
      <c r="I441" s="1692"/>
      <c r="J441" s="1692"/>
      <c r="K441" s="1692"/>
      <c r="L441" s="1692"/>
      <c r="M441" s="1692"/>
      <c r="N441" s="1692"/>
      <c r="O441" s="1692"/>
      <c r="P441" s="1692"/>
      <c r="Q441" s="1692"/>
      <c r="R441" s="1692"/>
      <c r="S441" s="1692"/>
      <c r="T441" s="1692"/>
      <c r="U441" s="1692"/>
      <c r="V441" s="1692"/>
      <c r="W441" s="1692"/>
      <c r="X441" s="1692"/>
      <c r="Y441" s="1692"/>
      <c r="Z441" s="1692"/>
      <c r="AA441" s="1692"/>
      <c r="AB441" s="1692"/>
      <c r="AC441" s="1692"/>
      <c r="AD441" s="1692"/>
      <c r="AE441" s="1692"/>
      <c r="AF441" s="1693"/>
      <c r="AG441" s="1826">
        <f>IF(ISERROR(AG440/AG439),"",AG440/AG439)</f>
        <v>1</v>
      </c>
      <c r="AH441" s="1826"/>
      <c r="AI441" s="1826"/>
      <c r="AJ441" s="1826"/>
    </row>
    <row r="442" spans="1:110" ht="13" customHeight="1">
      <c r="D442" s="1691" t="s">
        <v>1057</v>
      </c>
      <c r="E442" s="1692"/>
      <c r="F442" s="1692"/>
      <c r="G442" s="1692"/>
      <c r="H442" s="1692"/>
      <c r="I442" s="1692"/>
      <c r="J442" s="1692"/>
      <c r="K442" s="1692"/>
      <c r="L442" s="1692"/>
      <c r="M442" s="1692"/>
      <c r="N442" s="1692"/>
      <c r="O442" s="1692"/>
      <c r="P442" s="1692"/>
      <c r="Q442" s="1692"/>
      <c r="R442" s="1692"/>
      <c r="S442" s="1692"/>
      <c r="T442" s="1692"/>
      <c r="U442" s="1692"/>
      <c r="V442" s="1692"/>
      <c r="W442" s="1692"/>
      <c r="X442" s="1692"/>
      <c r="Y442" s="1692"/>
      <c r="Z442" s="1692"/>
      <c r="AA442" s="1692"/>
      <c r="AB442" s="1692"/>
      <c r="AC442" s="1692"/>
      <c r="AD442" s="1692"/>
      <c r="AE442" s="1692"/>
      <c r="AF442" s="1693"/>
      <c r="AG442" s="1837">
        <f>62010-850</f>
        <v>61160</v>
      </c>
      <c r="AH442" s="1837"/>
      <c r="AI442" s="1837"/>
      <c r="AJ442" s="1837"/>
    </row>
    <row r="443" spans="1:110" ht="13" customHeight="1">
      <c r="D443" s="1691" t="s">
        <v>1059</v>
      </c>
      <c r="E443" s="1692"/>
      <c r="F443" s="1692"/>
      <c r="G443" s="1692"/>
      <c r="H443" s="1692"/>
      <c r="I443" s="1692"/>
      <c r="J443" s="1692"/>
      <c r="K443" s="1692"/>
      <c r="L443" s="1692"/>
      <c r="M443" s="1692"/>
      <c r="N443" s="1692"/>
      <c r="O443" s="1692"/>
      <c r="P443" s="1692"/>
      <c r="Q443" s="1692"/>
      <c r="R443" s="1692"/>
      <c r="S443" s="1692"/>
      <c r="T443" s="1692"/>
      <c r="U443" s="1692"/>
      <c r="V443" s="1692"/>
      <c r="W443" s="1692"/>
      <c r="X443" s="1692"/>
      <c r="Y443" s="1692"/>
      <c r="Z443" s="1692"/>
      <c r="AA443" s="1692"/>
      <c r="AB443" s="1692"/>
      <c r="AC443" s="1692"/>
      <c r="AD443" s="1692"/>
      <c r="AE443" s="1692"/>
      <c r="AF443" s="1693"/>
      <c r="AG443" s="1837">
        <f>AG442</f>
        <v>61160</v>
      </c>
      <c r="AH443" s="1837"/>
      <c r="AI443" s="1837"/>
      <c r="AJ443" s="1837"/>
    </row>
    <row r="444" spans="1:110" ht="13" customHeight="1">
      <c r="D444" s="1691" t="s">
        <v>1060</v>
      </c>
      <c r="E444" s="1692"/>
      <c r="F444" s="1692"/>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1693"/>
      <c r="AG444" s="1826">
        <f>IF(ISERROR(AG443/AG442),"",AG443/AG442)</f>
        <v>1</v>
      </c>
      <c r="AH444" s="1826"/>
      <c r="AI444" s="1826"/>
      <c r="AJ444" s="1826"/>
    </row>
    <row r="445" spans="1:110" ht="13" customHeight="1">
      <c r="D445" s="1691" t="s">
        <v>1061</v>
      </c>
      <c r="E445" s="1692"/>
      <c r="F445" s="1692"/>
      <c r="G445" s="1692"/>
      <c r="H445" s="1692"/>
      <c r="I445" s="1692"/>
      <c r="J445" s="1692"/>
      <c r="K445" s="1692"/>
      <c r="L445" s="1692"/>
      <c r="M445" s="1692"/>
      <c r="N445" s="1692"/>
      <c r="O445" s="1692"/>
      <c r="P445" s="1692"/>
      <c r="Q445" s="1692"/>
      <c r="R445" s="1692"/>
      <c r="S445" s="1692"/>
      <c r="T445" s="1692"/>
      <c r="U445" s="1692"/>
      <c r="V445" s="1692"/>
      <c r="W445" s="1692"/>
      <c r="X445" s="1692"/>
      <c r="Y445" s="1692"/>
      <c r="Z445" s="1692"/>
      <c r="AA445" s="1692"/>
      <c r="AB445" s="1692"/>
      <c r="AC445" s="1692"/>
      <c r="AD445" s="1692"/>
      <c r="AE445" s="1692"/>
      <c r="AF445" s="1693"/>
      <c r="AG445" s="1826">
        <f>MIN(IF(AG441&gt;AG444,AG444,AG441),1)</f>
        <v>1</v>
      </c>
      <c r="AH445" s="1826"/>
      <c r="AI445" s="1826"/>
      <c r="AJ445" s="1826"/>
    </row>
    <row r="446" spans="1:110" ht="13" customHeight="1">
      <c r="D446" s="1691" t="s">
        <v>2404</v>
      </c>
      <c r="E446" s="1632"/>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42"/>
      <c r="AG446" s="1837">
        <f>650+1450</f>
        <v>2100</v>
      </c>
      <c r="AH446" s="1837"/>
      <c r="AI446" s="1837"/>
      <c r="AJ446" s="18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31" t="s">
        <v>577</v>
      </c>
      <c r="E447" s="1632"/>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F447" s="1842"/>
      <c r="AG447" s="1837">
        <v>0</v>
      </c>
      <c r="AH447" s="1837"/>
      <c r="AI447" s="1837"/>
      <c r="AJ447" s="18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1" t="s">
        <v>1311</v>
      </c>
      <c r="E448" s="1632"/>
      <c r="F448" s="1632"/>
      <c r="G448" s="1632"/>
      <c r="H448" s="1632"/>
      <c r="I448" s="1632"/>
      <c r="J448" s="1632"/>
      <c r="K448" s="1632"/>
      <c r="L448" s="1632"/>
      <c r="M448" s="1632"/>
      <c r="N448" s="1632"/>
      <c r="O448" s="1632"/>
      <c r="P448" s="1632"/>
      <c r="Q448" s="1632"/>
      <c r="R448" s="1632"/>
      <c r="S448" s="1632"/>
      <c r="T448" s="1632"/>
      <c r="U448" s="1632"/>
      <c r="V448" s="1632"/>
      <c r="W448" s="1632"/>
      <c r="X448" s="1632"/>
      <c r="Y448" s="1632"/>
      <c r="Z448" s="1632"/>
      <c r="AA448" s="1632"/>
      <c r="AB448" s="1632"/>
      <c r="AC448" s="1632"/>
      <c r="AD448" s="1632"/>
      <c r="AE448" s="1632"/>
      <c r="AF448" s="1842"/>
      <c r="AG448" s="1837">
        <f>85954-AG442-AG446</f>
        <v>22694</v>
      </c>
      <c r="AH448" s="1837"/>
      <c r="AI448" s="1837"/>
      <c r="AJ448" s="18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1" t="s">
        <v>1062</v>
      </c>
      <c r="E449" s="1632"/>
      <c r="F449" s="1632"/>
      <c r="G449" s="1632"/>
      <c r="H449" s="1632"/>
      <c r="I449" s="1632"/>
      <c r="J449" s="1632"/>
      <c r="K449" s="1632"/>
      <c r="L449" s="1632"/>
      <c r="M449" s="1632"/>
      <c r="N449" s="1632"/>
      <c r="O449" s="1632"/>
      <c r="P449" s="1632"/>
      <c r="Q449" s="1632"/>
      <c r="R449" s="1632"/>
      <c r="S449" s="1632"/>
      <c r="T449" s="1632"/>
      <c r="U449" s="1632"/>
      <c r="V449" s="1632"/>
      <c r="W449" s="1632"/>
      <c r="X449" s="1632"/>
      <c r="Y449" s="1632"/>
      <c r="Z449" s="1632"/>
      <c r="AA449" s="1632"/>
      <c r="AB449" s="1632"/>
      <c r="AC449" s="1632"/>
      <c r="AD449" s="1632"/>
      <c r="AE449" s="1632"/>
      <c r="AF449" s="1842"/>
      <c r="AG449" s="1837">
        <v>0</v>
      </c>
      <c r="AH449" s="1837"/>
      <c r="AI449" s="1837"/>
      <c r="AJ449" s="183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7" t="s">
        <v>1063</v>
      </c>
      <c r="E450" s="1818"/>
      <c r="F450" s="1818"/>
      <c r="G450" s="1818"/>
      <c r="H450" s="1818"/>
      <c r="I450" s="1818"/>
      <c r="J450" s="1818"/>
      <c r="K450" s="1818"/>
      <c r="L450" s="1818"/>
      <c r="M450" s="1818"/>
      <c r="N450" s="1818"/>
      <c r="O450" s="1818"/>
      <c r="P450" s="1818"/>
      <c r="Q450" s="1818"/>
      <c r="R450" s="1818"/>
      <c r="S450" s="1818"/>
      <c r="T450" s="1818"/>
      <c r="U450" s="1818"/>
      <c r="V450" s="1818"/>
      <c r="W450" s="1818"/>
      <c r="X450" s="1818"/>
      <c r="Y450" s="1818"/>
      <c r="Z450" s="1818"/>
      <c r="AA450" s="1818"/>
      <c r="AB450" s="1818"/>
      <c r="AC450" s="1818"/>
      <c r="AD450" s="1818"/>
      <c r="AE450" s="1818"/>
      <c r="AF450" s="1819"/>
      <c r="AG450" s="1836">
        <f>AG442+AG446+AG448+AG449</f>
        <v>85954</v>
      </c>
      <c r="AH450" s="1836"/>
      <c r="AI450" s="1836"/>
      <c r="AJ450" s="183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0" t="s">
        <v>1312</v>
      </c>
      <c r="E451" s="1820"/>
      <c r="F451" s="1820"/>
      <c r="G451" s="1820"/>
      <c r="H451" s="1820"/>
      <c r="I451" s="1820"/>
      <c r="J451" s="1820"/>
      <c r="K451" s="1820"/>
      <c r="L451" s="1820"/>
      <c r="M451" s="1820"/>
      <c r="N451" s="1820"/>
      <c r="O451" s="1820"/>
      <c r="P451" s="1820"/>
      <c r="Q451" s="1820"/>
      <c r="R451" s="1820"/>
      <c r="S451" s="1820"/>
      <c r="T451" s="1820"/>
      <c r="U451" s="1820"/>
      <c r="V451" s="1820"/>
      <c r="W451" s="1820"/>
      <c r="X451" s="1820"/>
      <c r="Y451" s="1820"/>
      <c r="Z451" s="1820"/>
      <c r="AA451" s="1820"/>
      <c r="AB451" s="1820"/>
      <c r="AC451" s="1820"/>
      <c r="AD451" s="1820"/>
      <c r="AE451" s="1820"/>
      <c r="AF451" s="1820"/>
      <c r="AG451" s="1820"/>
      <c r="AH451" s="1820"/>
      <c r="AI451" s="1820"/>
      <c r="AJ451" s="182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1"/>
      <c r="E452" s="1821"/>
      <c r="F452" s="1821"/>
      <c r="G452" s="1821"/>
      <c r="H452" s="1821"/>
      <c r="I452" s="1821"/>
      <c r="J452" s="1821"/>
      <c r="K452" s="1821"/>
      <c r="L452" s="1821"/>
      <c r="M452" s="1821"/>
      <c r="N452" s="1821"/>
      <c r="O452" s="1821"/>
      <c r="P452" s="1821"/>
      <c r="Q452" s="1821"/>
      <c r="R452" s="1821"/>
      <c r="S452" s="1821"/>
      <c r="T452" s="1821"/>
      <c r="U452" s="1821"/>
      <c r="V452" s="1821"/>
      <c r="W452" s="1821"/>
      <c r="X452" s="1821"/>
      <c r="Y452" s="1821"/>
      <c r="Z452" s="1821"/>
      <c r="AA452" s="1821"/>
      <c r="AB452" s="1821"/>
      <c r="AC452" s="1821"/>
      <c r="AD452" s="1821"/>
      <c r="AE452" s="1821"/>
      <c r="AF452" s="1821"/>
      <c r="AG452" s="1821"/>
      <c r="AH452" s="1821"/>
      <c r="AI452" s="1821"/>
      <c r="AJ452" s="182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69">
        <f>IF(AG437=0,"",'Sources and Uses Budget'!B105/Application!AG437)</f>
        <v>712107.51219512196</v>
      </c>
      <c r="AD454" s="1769"/>
      <c r="AE454" s="1769"/>
      <c r="AF454" s="176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69">
        <f>IF(AG437=0,"",'Sources and Uses Budget'!C105/Application!AG437)</f>
        <v>712107.51219512196</v>
      </c>
      <c r="AD455" s="1769"/>
      <c r="AE455" s="1769"/>
      <c r="AF455" s="176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69">
        <f>IF(AG437=0,"",('Sources and Uses Budget'!$S$107+'Sources and Uses Budget'!$T$107)/Application!AG437)</f>
        <v>617203.46341463411</v>
      </c>
      <c r="AD456" s="1769"/>
      <c r="AE456" s="1769"/>
      <c r="AF456" s="176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1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9"/>
      <c r="H457" s="1419"/>
      <c r="I457" s="1419"/>
      <c r="J457" s="1419"/>
      <c r="K457" s="1419"/>
      <c r="L457" s="1419"/>
      <c r="M457" s="1419"/>
      <c r="N457" s="1419"/>
      <c r="O457" s="1419"/>
      <c r="P457" s="1419"/>
      <c r="Q457" s="1419"/>
      <c r="R457" s="1419"/>
      <c r="S457" s="1419"/>
      <c r="T457" s="1419"/>
      <c r="U457" s="1419"/>
      <c r="V457" s="1419"/>
      <c r="W457" s="1419"/>
      <c r="X457" s="1419"/>
      <c r="Y457" s="1419"/>
      <c r="Z457" s="1419"/>
      <c r="AA457" s="1419"/>
      <c r="AB457" s="141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19"/>
      <c r="G458" s="1419"/>
      <c r="H458" s="1419"/>
      <c r="I458" s="1419"/>
      <c r="J458" s="1419"/>
      <c r="K458" s="1419"/>
      <c r="L458" s="1419"/>
      <c r="M458" s="1419"/>
      <c r="N458" s="1419"/>
      <c r="O458" s="1419"/>
      <c r="P458" s="1419"/>
      <c r="Q458" s="1419"/>
      <c r="R458" s="1419"/>
      <c r="S458" s="1419"/>
      <c r="T458" s="1419"/>
      <c r="U458" s="1419"/>
      <c r="V458" s="1419"/>
      <c r="W458" s="1419"/>
      <c r="X458" s="1419"/>
      <c r="Y458" s="1419"/>
      <c r="Z458" s="1419"/>
      <c r="AA458" s="1419"/>
      <c r="AB458" s="141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4" t="s">
        <v>2418</v>
      </c>
      <c r="E465" s="1772"/>
      <c r="F465" s="1772"/>
      <c r="G465" s="1772"/>
      <c r="H465" s="1772"/>
      <c r="I465" s="1772"/>
      <c r="J465" s="1772"/>
      <c r="K465" s="1772"/>
      <c r="L465" s="1772"/>
      <c r="M465" s="1772"/>
      <c r="N465" s="1772"/>
      <c r="O465" s="1772"/>
      <c r="P465" s="1772"/>
      <c r="Q465" s="1772"/>
      <c r="R465" s="1772"/>
      <c r="S465" s="1772"/>
      <c r="T465" s="1772"/>
      <c r="U465" s="1772"/>
      <c r="V465" s="1773"/>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1" t="s">
        <v>702</v>
      </c>
      <c r="E466" s="1772"/>
      <c r="F466" s="1772"/>
      <c r="G466" s="1772"/>
      <c r="H466" s="1772"/>
      <c r="I466" s="1772"/>
      <c r="J466" s="1772"/>
      <c r="K466" s="1772"/>
      <c r="L466" s="1772"/>
      <c r="M466" s="1772"/>
      <c r="N466" s="1772"/>
      <c r="O466" s="1772"/>
      <c r="P466" s="1772"/>
      <c r="Q466" s="1772"/>
      <c r="R466" s="1772"/>
      <c r="S466" s="1772"/>
      <c r="T466" s="1772"/>
      <c r="U466" s="1772"/>
      <c r="V466" s="1773"/>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1" t="s">
        <v>703</v>
      </c>
      <c r="E467" s="1772"/>
      <c r="F467" s="1772"/>
      <c r="G467" s="1772"/>
      <c r="H467" s="1772"/>
      <c r="I467" s="1772"/>
      <c r="J467" s="1772"/>
      <c r="K467" s="1772"/>
      <c r="L467" s="1772"/>
      <c r="M467" s="1772"/>
      <c r="N467" s="1772"/>
      <c r="O467" s="1772"/>
      <c r="P467" s="1772"/>
      <c r="Q467" s="1772"/>
      <c r="R467" s="1772"/>
      <c r="S467" s="1772"/>
      <c r="T467" s="1772"/>
      <c r="U467" s="1772"/>
      <c r="V467" s="1773"/>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1" t="s">
        <v>704</v>
      </c>
      <c r="E468" s="1772"/>
      <c r="F468" s="1772"/>
      <c r="G468" s="1772"/>
      <c r="H468" s="1772"/>
      <c r="I468" s="1772"/>
      <c r="J468" s="1772"/>
      <c r="K468" s="1772"/>
      <c r="L468" s="1772"/>
      <c r="M468" s="1772"/>
      <c r="N468" s="1772"/>
      <c r="O468" s="1772"/>
      <c r="P468" s="1772"/>
      <c r="Q468" s="1772"/>
      <c r="R468" s="1772"/>
      <c r="S468" s="1772"/>
      <c r="T468" s="1772"/>
      <c r="U468" s="1772"/>
      <c r="V468" s="1773"/>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1" t="s">
        <v>893</v>
      </c>
      <c r="E469" s="1772"/>
      <c r="F469" s="1772"/>
      <c r="G469" s="1772"/>
      <c r="H469" s="1772"/>
      <c r="I469" s="1772"/>
      <c r="J469" s="1772"/>
      <c r="K469" s="1772"/>
      <c r="L469" s="1772"/>
      <c r="M469" s="1772"/>
      <c r="N469" s="1772"/>
      <c r="O469" s="1772"/>
      <c r="P469" s="1772"/>
      <c r="Q469" s="1772"/>
      <c r="R469" s="1772"/>
      <c r="S469" s="1772"/>
      <c r="T469" s="1772"/>
      <c r="U469" s="1772"/>
      <c r="V469" s="1773"/>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1" t="s">
        <v>705</v>
      </c>
      <c r="E470" s="1772"/>
      <c r="F470" s="1772"/>
      <c r="G470" s="1772"/>
      <c r="H470" s="1772"/>
      <c r="I470" s="1772"/>
      <c r="J470" s="1772"/>
      <c r="K470" s="1772"/>
      <c r="L470" s="1772"/>
      <c r="M470" s="1772"/>
      <c r="N470" s="1772"/>
      <c r="O470" s="1772"/>
      <c r="P470" s="1772"/>
      <c r="Q470" s="1772"/>
      <c r="R470" s="1772"/>
      <c r="S470" s="1772"/>
      <c r="T470" s="1772"/>
      <c r="U470" s="1772"/>
      <c r="V470" s="1773"/>
      <c r="W470" s="1694">
        <v>0</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1" t="s">
        <v>1036</v>
      </c>
      <c r="E471" s="1772"/>
      <c r="F471" s="1772"/>
      <c r="G471" s="1772"/>
      <c r="H471" s="1772"/>
      <c r="I471" s="1772"/>
      <c r="J471" s="1772"/>
      <c r="K471" s="1772"/>
      <c r="L471" s="1772"/>
      <c r="M471" s="1772"/>
      <c r="N471" s="1772"/>
      <c r="O471" s="1772"/>
      <c r="P471" s="1772"/>
      <c r="Q471" s="1772"/>
      <c r="R471" s="1772"/>
      <c r="S471" s="1772"/>
      <c r="T471" s="1772"/>
      <c r="U471" s="1772"/>
      <c r="V471" s="1773"/>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4" t="s">
        <v>2555</v>
      </c>
      <c r="E472" s="1862"/>
      <c r="F472" s="1862"/>
      <c r="G472" s="1862"/>
      <c r="H472" s="1862"/>
      <c r="I472" s="1862"/>
      <c r="J472" s="1862"/>
      <c r="K472" s="1862"/>
      <c r="L472" s="1862"/>
      <c r="M472" s="1862"/>
      <c r="N472" s="1862"/>
      <c r="O472" s="1862"/>
      <c r="P472" s="1862"/>
      <c r="Q472" s="1862"/>
      <c r="R472" s="1862"/>
      <c r="S472" s="1862"/>
      <c r="T472" s="1862"/>
      <c r="U472" s="1862"/>
      <c r="V472" s="1863"/>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4" t="s">
        <v>1767</v>
      </c>
      <c r="E473" s="1772"/>
      <c r="F473" s="1772"/>
      <c r="G473" s="1772"/>
      <c r="H473" s="1772"/>
      <c r="I473" s="1772"/>
      <c r="J473" s="1772"/>
      <c r="K473" s="1772"/>
      <c r="L473" s="1772"/>
      <c r="M473" s="1772"/>
      <c r="N473" s="1772"/>
      <c r="O473" s="1772"/>
      <c r="P473" s="1772"/>
      <c r="Q473" s="1772"/>
      <c r="R473" s="1772"/>
      <c r="S473" s="1772"/>
      <c r="T473" s="1772"/>
      <c r="U473" s="1772"/>
      <c r="V473" s="1773"/>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31"/>
      <c r="H474" s="1832"/>
      <c r="I474" s="1832"/>
      <c r="J474" s="1832"/>
      <c r="K474" s="1832"/>
      <c r="L474" s="1832"/>
      <c r="M474" s="1832"/>
      <c r="N474" s="1832"/>
      <c r="O474" s="1832"/>
      <c r="P474" s="1832"/>
      <c r="Q474" s="1832"/>
      <c r="R474" s="1832"/>
      <c r="S474" s="1832"/>
      <c r="T474" s="1832"/>
      <c r="U474" s="1832"/>
      <c r="V474" s="1833"/>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87" t="s">
        <v>819</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23" t="s">
        <v>393</v>
      </c>
      <c r="R485" s="1824"/>
      <c r="S485" s="1824"/>
      <c r="T485" s="1824"/>
      <c r="U485" s="1824"/>
      <c r="V485" s="1824"/>
      <c r="W485" s="1824"/>
      <c r="X485" s="1824"/>
      <c r="Y485" s="1824"/>
      <c r="Z485" s="1824"/>
      <c r="AA485" s="1824"/>
      <c r="AB485" s="1824"/>
      <c r="AC485" s="1824"/>
      <c r="AD485" s="1824"/>
      <c r="AE485" s="1824"/>
      <c r="AF485" s="1824"/>
      <c r="AG485" s="1824"/>
      <c r="AH485" s="1824"/>
      <c r="AI485" s="1824"/>
      <c r="AJ485" s="1824"/>
      <c r="AK485" s="18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708" t="s">
        <v>2674</v>
      </c>
      <c r="R486" s="1471"/>
      <c r="S486" s="1471"/>
      <c r="T486" s="1471"/>
      <c r="U486" s="1471"/>
      <c r="V486" s="1471"/>
      <c r="W486" s="1471"/>
      <c r="X486" s="1471"/>
      <c r="Y486" s="1471"/>
      <c r="Z486" s="1471"/>
      <c r="AA486" s="1471"/>
      <c r="AB486" s="1471"/>
      <c r="AC486" s="1471"/>
      <c r="AD486" s="1471"/>
      <c r="AE486" s="1471"/>
      <c r="AF486" s="1471"/>
      <c r="AG486" s="1471"/>
      <c r="AH486" s="1471"/>
      <c r="AI486" s="1471"/>
      <c r="AJ486" s="1471"/>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708" t="s">
        <v>2672</v>
      </c>
      <c r="R487" s="1471"/>
      <c r="S487" s="1471"/>
      <c r="T487" s="1471"/>
      <c r="U487" s="1471"/>
      <c r="V487" s="1471"/>
      <c r="W487" s="1471"/>
      <c r="X487" s="1471"/>
      <c r="Y487" s="1471"/>
      <c r="Z487" s="1471"/>
      <c r="AA487" s="1471"/>
      <c r="AB487" s="1471"/>
      <c r="AC487" s="1471"/>
      <c r="AD487" s="1471"/>
      <c r="AE487" s="1471"/>
      <c r="AF487" s="1471"/>
      <c r="AG487" s="1471"/>
      <c r="AH487" s="1471"/>
      <c r="AI487" s="1471"/>
      <c r="AJ487" s="1471"/>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708" t="s">
        <v>2673</v>
      </c>
      <c r="R488" s="1471"/>
      <c r="S488" s="1471"/>
      <c r="T488" s="1471"/>
      <c r="U488" s="1471"/>
      <c r="V488" s="1471"/>
      <c r="W488" s="1471"/>
      <c r="X488" s="1471"/>
      <c r="Y488" s="1471"/>
      <c r="Z488" s="1471"/>
      <c r="AA488" s="1471"/>
      <c r="AB488" s="1471"/>
      <c r="AC488" s="1471"/>
      <c r="AD488" s="1471"/>
      <c r="AE488" s="1471"/>
      <c r="AF488" s="1471"/>
      <c r="AG488" s="1471"/>
      <c r="AH488" s="1471"/>
      <c r="AI488" s="1471"/>
      <c r="AJ488" s="1471"/>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47" t="s">
        <v>397</v>
      </c>
      <c r="C489" s="1848"/>
      <c r="D489" s="1848"/>
      <c r="E489" s="1848"/>
      <c r="F489" s="1848"/>
      <c r="G489" s="1848"/>
      <c r="H489" s="1848"/>
      <c r="I489" s="1848"/>
      <c r="J489" s="1848"/>
      <c r="K489" s="1848"/>
      <c r="L489" s="1848"/>
      <c r="M489" s="1848"/>
      <c r="N489" s="1848"/>
      <c r="O489" s="1848"/>
      <c r="P489" s="1849"/>
      <c r="Q489" s="1853" t="s">
        <v>553</v>
      </c>
      <c r="R489" s="1854"/>
      <c r="S489" s="1633" t="s">
        <v>2670</v>
      </c>
      <c r="T489" s="1634"/>
      <c r="U489" s="1634"/>
      <c r="V489" s="1634"/>
      <c r="W489" s="1634"/>
      <c r="X489" s="1634"/>
      <c r="Y489" s="1634"/>
      <c r="Z489" s="1634"/>
      <c r="AA489" s="1634"/>
      <c r="AB489" s="1634"/>
      <c r="AC489" s="1634"/>
      <c r="AD489" s="1634"/>
      <c r="AE489" s="1634"/>
      <c r="AF489" s="1634"/>
      <c r="AG489" s="1634"/>
      <c r="AH489" s="1634"/>
      <c r="AI489" s="1634"/>
      <c r="AJ489" s="1634"/>
      <c r="AK489" s="16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50"/>
      <c r="C490" s="1851"/>
      <c r="D490" s="1851"/>
      <c r="E490" s="1851"/>
      <c r="F490" s="1851"/>
      <c r="G490" s="1851"/>
      <c r="H490" s="1851"/>
      <c r="I490" s="1851"/>
      <c r="J490" s="1851"/>
      <c r="K490" s="1851"/>
      <c r="L490" s="1851"/>
      <c r="M490" s="1851"/>
      <c r="N490" s="1851"/>
      <c r="O490" s="1851"/>
      <c r="P490" s="1852"/>
      <c r="Q490" s="1855"/>
      <c r="R490" s="1856"/>
      <c r="S490" s="1636"/>
      <c r="T490" s="1637"/>
      <c r="U490" s="1637"/>
      <c r="V490" s="1637"/>
      <c r="W490" s="1637"/>
      <c r="X490" s="1637"/>
      <c r="Y490" s="1637"/>
      <c r="Z490" s="1637"/>
      <c r="AA490" s="1637"/>
      <c r="AB490" s="1637"/>
      <c r="AC490" s="1637"/>
      <c r="AD490" s="1637"/>
      <c r="AE490" s="1637"/>
      <c r="AF490" s="1637"/>
      <c r="AG490" s="1637"/>
      <c r="AH490" s="1637"/>
      <c r="AI490" s="1637"/>
      <c r="AJ490" s="1637"/>
      <c r="AK490" s="16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57" t="s">
        <v>677</v>
      </c>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708" t="s">
        <v>2671</v>
      </c>
      <c r="R492" s="1471"/>
      <c r="S492" s="1471"/>
      <c r="T492" s="1471"/>
      <c r="U492" s="1471"/>
      <c r="V492" s="1471"/>
      <c r="W492" s="1471"/>
      <c r="X492" s="1471"/>
      <c r="Y492" s="1471"/>
      <c r="Z492" s="1471"/>
      <c r="AA492" s="1471"/>
      <c r="AB492" s="1471"/>
      <c r="AC492" s="1471"/>
      <c r="AD492" s="1471"/>
      <c r="AE492" s="1471"/>
      <c r="AF492" s="1471"/>
      <c r="AG492" s="1471"/>
      <c r="AH492" s="1471"/>
      <c r="AI492" s="1471"/>
      <c r="AJ492" s="1471"/>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726">
        <v>0</v>
      </c>
      <c r="R493" s="1471"/>
      <c r="S493" s="1471"/>
      <c r="T493" s="1471"/>
      <c r="U493" s="1471"/>
      <c r="V493" s="1471"/>
      <c r="W493" s="1471"/>
      <c r="X493" s="1471"/>
      <c r="Y493" s="1471"/>
      <c r="Z493" s="1471"/>
      <c r="AA493" s="1471"/>
      <c r="AB493" s="1471"/>
      <c r="AC493" s="1471"/>
      <c r="AD493" s="1471"/>
      <c r="AE493" s="1471"/>
      <c r="AF493" s="1471"/>
      <c r="AG493" s="1471"/>
      <c r="AH493" s="1471"/>
      <c r="AI493" s="1471"/>
      <c r="AJ493" s="1471"/>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726">
        <v>0</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81">
        <v>0</v>
      </c>
      <c r="N495" s="1482"/>
      <c r="O495" s="1482"/>
      <c r="P495" s="1483"/>
      <c r="Q495" s="121" t="s">
        <v>1784</v>
      </c>
      <c r="R495" s="5"/>
      <c r="S495" s="5"/>
      <c r="T495" s="5"/>
      <c r="U495" s="5"/>
      <c r="V495" s="5"/>
      <c r="W495" s="5"/>
      <c r="X495" s="5"/>
      <c r="Y495" s="5"/>
      <c r="Z495" s="5"/>
      <c r="AA495" s="5"/>
      <c r="AB495" s="5"/>
      <c r="AC495" s="5"/>
      <c r="AD495" s="5"/>
      <c r="AE495" s="5"/>
      <c r="AF495" s="5"/>
      <c r="AG495" s="5"/>
      <c r="AH495" s="1481">
        <v>0</v>
      </c>
      <c r="AI495" s="1482"/>
      <c r="AJ495" s="1482"/>
      <c r="AK495" s="148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3" t="s">
        <v>401</v>
      </c>
      <c r="AD499" s="1824"/>
      <c r="AE499" s="1824"/>
      <c r="AF499" s="1824"/>
      <c r="AG499" s="1824"/>
      <c r="AH499" s="1824"/>
      <c r="AI499" s="1824"/>
      <c r="AJ499" s="1824"/>
      <c r="AK499" s="18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3" t="s">
        <v>402</v>
      </c>
      <c r="AD500" s="1824"/>
      <c r="AE500" s="1824"/>
      <c r="AF500" s="1824"/>
      <c r="AG500" s="50" t="s">
        <v>403</v>
      </c>
      <c r="AH500" s="1824" t="s">
        <v>404</v>
      </c>
      <c r="AI500" s="1824"/>
      <c r="AJ500" s="1824"/>
      <c r="AK500" s="18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719" t="s">
        <v>405</v>
      </c>
      <c r="C501" s="1492"/>
      <c r="D501" s="1492"/>
      <c r="E501" s="1492"/>
      <c r="F501" s="1492"/>
      <c r="G501" s="1492"/>
      <c r="H501" s="1493"/>
      <c r="I501" s="42" t="s">
        <v>406</v>
      </c>
      <c r="J501" s="42"/>
      <c r="K501" s="42"/>
      <c r="L501" s="42"/>
      <c r="M501" s="42"/>
      <c r="N501" s="42"/>
      <c r="O501" s="42"/>
      <c r="P501" s="42"/>
      <c r="Q501" s="42"/>
      <c r="R501" s="42"/>
      <c r="S501" s="42"/>
      <c r="T501" s="42"/>
      <c r="U501" s="42"/>
      <c r="V501" s="42"/>
      <c r="W501" s="42"/>
      <c r="AC501" s="1775" t="s">
        <v>599</v>
      </c>
      <c r="AD501" s="1668"/>
      <c r="AE501" s="1668"/>
      <c r="AF501" s="1668"/>
      <c r="AG501" s="13" t="s">
        <v>403</v>
      </c>
      <c r="AH501" s="1359">
        <v>0</v>
      </c>
      <c r="AI501" s="1359"/>
      <c r="AJ501" s="1359"/>
      <c r="AK501" s="136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720"/>
      <c r="C502" s="1494"/>
      <c r="D502" s="1494"/>
      <c r="E502" s="1494"/>
      <c r="F502" s="1494"/>
      <c r="G502" s="1494"/>
      <c r="H502" s="1495"/>
      <c r="I502" s="48" t="s">
        <v>407</v>
      </c>
      <c r="J502" s="48"/>
      <c r="K502" s="48"/>
      <c r="L502" s="48"/>
      <c r="M502" s="48"/>
      <c r="N502" s="48"/>
      <c r="O502" s="48"/>
      <c r="P502" s="48"/>
      <c r="Q502" s="48"/>
      <c r="R502" s="48"/>
      <c r="S502" s="48"/>
      <c r="T502" s="48"/>
      <c r="U502" s="48"/>
      <c r="V502" s="48"/>
      <c r="W502" s="48"/>
      <c r="X502" s="48"/>
      <c r="Y502" s="48"/>
      <c r="Z502" s="48"/>
      <c r="AA502" s="48"/>
      <c r="AB502" s="48"/>
      <c r="AC502" s="1775">
        <v>4</v>
      </c>
      <c r="AD502" s="1668"/>
      <c r="AE502" s="1668"/>
      <c r="AF502" s="1668"/>
      <c r="AG502" s="38" t="s">
        <v>403</v>
      </c>
      <c r="AH502" s="1359">
        <v>2024</v>
      </c>
      <c r="AI502" s="1359"/>
      <c r="AJ502" s="1359"/>
      <c r="AK502" s="136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719" t="s">
        <v>408</v>
      </c>
      <c r="C503" s="1492"/>
      <c r="D503" s="1492"/>
      <c r="E503" s="1492"/>
      <c r="F503" s="1492"/>
      <c r="G503" s="1492"/>
      <c r="H503" s="1493"/>
      <c r="I503" s="42" t="s">
        <v>409</v>
      </c>
      <c r="J503" s="42"/>
      <c r="K503" s="42"/>
      <c r="L503" s="42"/>
      <c r="M503" s="42"/>
      <c r="N503" s="42"/>
      <c r="O503" s="42"/>
      <c r="P503" s="42"/>
      <c r="Q503" s="42"/>
      <c r="R503" s="42"/>
      <c r="S503" s="42"/>
      <c r="T503" s="42"/>
      <c r="U503" s="42"/>
      <c r="V503" s="42"/>
      <c r="W503" s="42"/>
      <c r="AC503" s="1775" t="s">
        <v>599</v>
      </c>
      <c r="AD503" s="1668"/>
      <c r="AE503" s="1668"/>
      <c r="AF503" s="1668"/>
      <c r="AG503" s="13" t="s">
        <v>403</v>
      </c>
      <c r="AH503" s="1359"/>
      <c r="AI503" s="1359"/>
      <c r="AJ503" s="1359"/>
      <c r="AK503" s="136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720"/>
      <c r="C504" s="1494"/>
      <c r="D504" s="1494"/>
      <c r="E504" s="1494"/>
      <c r="F504" s="1494"/>
      <c r="G504" s="1494"/>
      <c r="H504" s="1495"/>
      <c r="I504" t="s">
        <v>410</v>
      </c>
      <c r="AC504" s="1775" t="s">
        <v>599</v>
      </c>
      <c r="AD504" s="1668"/>
      <c r="AE504" s="1668"/>
      <c r="AF504" s="1668"/>
      <c r="AG504" s="13" t="s">
        <v>403</v>
      </c>
      <c r="AH504" s="1359"/>
      <c r="AI504" s="1359"/>
      <c r="AJ504" s="1359"/>
      <c r="AK504" s="136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720"/>
      <c r="C505" s="1494"/>
      <c r="D505" s="1494"/>
      <c r="E505" s="1494"/>
      <c r="F505" s="1494"/>
      <c r="G505" s="1494"/>
      <c r="H505" s="1495"/>
      <c r="I505" t="s">
        <v>411</v>
      </c>
      <c r="AC505" s="1775">
        <v>6</v>
      </c>
      <c r="AD505" s="1668"/>
      <c r="AE505" s="1668"/>
      <c r="AF505" s="1668"/>
      <c r="AG505" s="13" t="s">
        <v>403</v>
      </c>
      <c r="AH505" s="1359">
        <v>2022</v>
      </c>
      <c r="AI505" s="1359"/>
      <c r="AJ505" s="1359"/>
      <c r="AK505" s="136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720"/>
      <c r="C506" s="1494"/>
      <c r="D506" s="1494"/>
      <c r="E506" s="1494"/>
      <c r="F506" s="1494"/>
      <c r="G506" s="1494"/>
      <c r="H506" s="1495"/>
      <c r="I506" t="s">
        <v>412</v>
      </c>
      <c r="AC506" s="1775">
        <v>12</v>
      </c>
      <c r="AD506" s="1668"/>
      <c r="AE506" s="1668"/>
      <c r="AF506" s="1668"/>
      <c r="AG506" s="13" t="s">
        <v>403</v>
      </c>
      <c r="AH506" s="1359">
        <v>2024</v>
      </c>
      <c r="AI506" s="1359"/>
      <c r="AJ506" s="1359"/>
      <c r="AK506" s="136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720"/>
      <c r="C507" s="1494"/>
      <c r="D507" s="1494"/>
      <c r="E507" s="1494"/>
      <c r="F507" s="1494"/>
      <c r="G507" s="1494"/>
      <c r="H507" s="1495"/>
      <c r="I507" s="3" t="s">
        <v>413</v>
      </c>
      <c r="AC507" s="1364">
        <v>12</v>
      </c>
      <c r="AD507" s="1365"/>
      <c r="AE507" s="1365"/>
      <c r="AF507" s="1365"/>
      <c r="AG507" s="13" t="s">
        <v>403</v>
      </c>
      <c r="AH507" s="1359">
        <v>2024</v>
      </c>
      <c r="AI507" s="1359"/>
      <c r="AJ507" s="1359"/>
      <c r="AK507" s="136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720"/>
      <c r="C508" s="1494"/>
      <c r="D508" s="1494"/>
      <c r="E508" s="1494"/>
      <c r="F508" s="1494"/>
      <c r="G508" s="1494"/>
      <c r="H508" s="1495"/>
      <c r="I508" s="931" t="s">
        <v>169</v>
      </c>
      <c r="J508" s="48"/>
      <c r="K508" s="48"/>
      <c r="L508" s="1781" t="s">
        <v>334</v>
      </c>
      <c r="M508" s="1782"/>
      <c r="N508" s="1782"/>
      <c r="O508" s="1782"/>
      <c r="P508" s="1782"/>
      <c r="Q508" s="1782"/>
      <c r="R508" s="1782"/>
      <c r="S508" s="1782"/>
      <c r="T508" s="1782"/>
      <c r="U508" s="1782"/>
      <c r="V508" s="1782"/>
      <c r="W508" s="1782"/>
      <c r="X508" s="1782"/>
      <c r="Y508" s="1782"/>
      <c r="Z508" s="1782"/>
      <c r="AA508" s="1782"/>
      <c r="AB508" s="1840"/>
      <c r="AC508" s="1775" t="s">
        <v>599</v>
      </c>
      <c r="AD508" s="1668"/>
      <c r="AE508" s="1668"/>
      <c r="AF508" s="1668"/>
      <c r="AG508" s="38" t="s">
        <v>403</v>
      </c>
      <c r="AH508" s="1359"/>
      <c r="AI508" s="1359"/>
      <c r="AJ508" s="1359"/>
      <c r="AK508" s="136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35" t="s">
        <v>553</v>
      </c>
      <c r="AD509" s="1835"/>
      <c r="AE509" s="1835"/>
      <c r="AF509" s="1835"/>
      <c r="AG509" s="13"/>
      <c r="AH509" s="1303"/>
      <c r="AI509" s="1303"/>
      <c r="AJ509" s="1303"/>
      <c r="AK509" s="184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64">
        <v>2</v>
      </c>
      <c r="AD510" s="1365"/>
      <c r="AE510" s="1365"/>
      <c r="AF510" s="1366"/>
      <c r="AG510" s="13"/>
      <c r="AH510" s="1303"/>
      <c r="AI510" s="1303"/>
      <c r="AJ510" s="1303"/>
      <c r="AK510" s="184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67">
        <v>0.75</v>
      </c>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0" t="s">
        <v>402</v>
      </c>
      <c r="AD513" s="1734"/>
      <c r="AE513" s="1734"/>
      <c r="AF513" s="1734"/>
      <c r="AG513" s="38" t="s">
        <v>403</v>
      </c>
      <c r="AH513" s="1734" t="s">
        <v>404</v>
      </c>
      <c r="AI513" s="1734"/>
      <c r="AJ513" s="1734"/>
      <c r="AK513" s="186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719" t="s">
        <v>414</v>
      </c>
      <c r="C514" s="1492"/>
      <c r="D514" s="1492"/>
      <c r="E514" s="1492"/>
      <c r="F514" s="1492"/>
      <c r="G514" s="1492"/>
      <c r="H514" s="1493"/>
      <c r="I514" s="42" t="s">
        <v>415</v>
      </c>
      <c r="J514" s="42"/>
      <c r="K514" s="42"/>
      <c r="L514" s="42"/>
      <c r="M514" s="42"/>
      <c r="N514" s="42"/>
      <c r="O514" s="42"/>
      <c r="P514" s="42"/>
      <c r="Q514" s="42"/>
      <c r="R514" s="42"/>
      <c r="S514" s="42"/>
      <c r="T514" s="42"/>
      <c r="U514" s="42"/>
      <c r="V514" s="42"/>
      <c r="W514" s="42"/>
      <c r="AC514" s="1775">
        <v>4</v>
      </c>
      <c r="AD514" s="1668"/>
      <c r="AE514" s="1668"/>
      <c r="AF514" s="1668"/>
      <c r="AG514" s="13" t="s">
        <v>403</v>
      </c>
      <c r="AH514" s="1359">
        <v>2024</v>
      </c>
      <c r="AI514" s="1359"/>
      <c r="AJ514" s="1359"/>
      <c r="AK514" s="136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720"/>
      <c r="C515" s="1494"/>
      <c r="D515" s="1494"/>
      <c r="E515" s="1494"/>
      <c r="F515" s="1494"/>
      <c r="G515" s="1494"/>
      <c r="H515" s="1495"/>
      <c r="I515" t="s">
        <v>416</v>
      </c>
      <c r="AC515" s="1775">
        <v>4</v>
      </c>
      <c r="AD515" s="1668"/>
      <c r="AE515" s="1668"/>
      <c r="AF515" s="1668"/>
      <c r="AG515" s="13" t="s">
        <v>403</v>
      </c>
      <c r="AH515" s="1359">
        <v>2024</v>
      </c>
      <c r="AI515" s="1359"/>
      <c r="AJ515" s="1359"/>
      <c r="AK515" s="136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720"/>
      <c r="C516" s="1494"/>
      <c r="D516" s="1494"/>
      <c r="E516" s="1494"/>
      <c r="F516" s="1494"/>
      <c r="G516" s="1494"/>
      <c r="H516" s="1495"/>
      <c r="I516" s="48" t="s">
        <v>417</v>
      </c>
      <c r="J516" s="48"/>
      <c r="K516" s="48"/>
      <c r="L516" s="48"/>
      <c r="M516" s="48"/>
      <c r="N516" s="48"/>
      <c r="O516" s="48"/>
      <c r="P516" s="48"/>
      <c r="Q516" s="48"/>
      <c r="R516" s="48"/>
      <c r="S516" s="48"/>
      <c r="T516" s="48"/>
      <c r="U516" s="48"/>
      <c r="V516" s="48"/>
      <c r="W516" s="48"/>
      <c r="X516" s="48"/>
      <c r="Y516" s="48"/>
      <c r="Z516" s="48"/>
      <c r="AA516" s="48"/>
      <c r="AB516" s="48"/>
      <c r="AC516" s="1775">
        <v>2</v>
      </c>
      <c r="AD516" s="1668"/>
      <c r="AE516" s="1668"/>
      <c r="AF516" s="1668"/>
      <c r="AG516" s="38" t="s">
        <v>403</v>
      </c>
      <c r="AH516" s="1359">
        <v>2025</v>
      </c>
      <c r="AI516" s="1359"/>
      <c r="AJ516" s="1359"/>
      <c r="AK516" s="136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719" t="s">
        <v>418</v>
      </c>
      <c r="C517" s="1492"/>
      <c r="D517" s="1492"/>
      <c r="E517" s="1492"/>
      <c r="F517" s="1492"/>
      <c r="G517" s="1492"/>
      <c r="H517" s="1493"/>
      <c r="I517" s="42" t="s">
        <v>415</v>
      </c>
      <c r="J517" s="42"/>
      <c r="K517" s="42"/>
      <c r="L517" s="42"/>
      <c r="M517" s="42"/>
      <c r="N517" s="42"/>
      <c r="O517" s="42"/>
      <c r="P517" s="42"/>
      <c r="Q517" s="42"/>
      <c r="R517" s="42"/>
      <c r="S517" s="42"/>
      <c r="T517" s="42"/>
      <c r="U517" s="42"/>
      <c r="V517" s="42"/>
      <c r="W517" s="42"/>
      <c r="X517" s="42"/>
      <c r="Y517" s="42"/>
      <c r="Z517" s="42"/>
      <c r="AA517" s="42"/>
      <c r="AB517" s="42"/>
      <c r="AC517" s="1364">
        <v>4</v>
      </c>
      <c r="AD517" s="1365"/>
      <c r="AE517" s="1365"/>
      <c r="AF517" s="1365"/>
      <c r="AG517" s="129" t="s">
        <v>403</v>
      </c>
      <c r="AH517" s="1359">
        <v>2024</v>
      </c>
      <c r="AI517" s="1359"/>
      <c r="AJ517" s="1359"/>
      <c r="AK517" s="136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720"/>
      <c r="C518" s="1494"/>
      <c r="D518" s="1494"/>
      <c r="E518" s="1494"/>
      <c r="F518" s="1494"/>
      <c r="G518" s="1494"/>
      <c r="H518" s="1495"/>
      <c r="I518" t="s">
        <v>416</v>
      </c>
      <c r="AC518" s="1775">
        <v>4</v>
      </c>
      <c r="AD518" s="1668"/>
      <c r="AE518" s="1668"/>
      <c r="AF518" s="1668"/>
      <c r="AG518" s="13" t="s">
        <v>403</v>
      </c>
      <c r="AH518" s="1359">
        <v>2024</v>
      </c>
      <c r="AI518" s="1359"/>
      <c r="AJ518" s="1359"/>
      <c r="AK518" s="136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721"/>
      <c r="C519" s="1496"/>
      <c r="D519" s="1496"/>
      <c r="E519" s="1496"/>
      <c r="F519" s="1496"/>
      <c r="G519" s="1496"/>
      <c r="H519" s="1497"/>
      <c r="I519" s="48" t="s">
        <v>417</v>
      </c>
      <c r="J519" s="48"/>
      <c r="K519" s="48"/>
      <c r="L519" s="48"/>
      <c r="M519" s="48"/>
      <c r="N519" s="48"/>
      <c r="O519" s="48"/>
      <c r="P519" s="48"/>
      <c r="Q519" s="48"/>
      <c r="R519" s="48"/>
      <c r="S519" s="48"/>
      <c r="T519" s="48"/>
      <c r="U519" s="48"/>
      <c r="V519" s="48"/>
      <c r="W519" s="48"/>
      <c r="X519" s="48"/>
      <c r="Y519" s="48"/>
      <c r="Z519" s="48"/>
      <c r="AA519" s="48"/>
      <c r="AB519" s="48"/>
      <c r="AC519" s="1775">
        <v>2</v>
      </c>
      <c r="AD519" s="1668"/>
      <c r="AE519" s="1668"/>
      <c r="AF519" s="1668"/>
      <c r="AG519" s="38" t="s">
        <v>403</v>
      </c>
      <c r="AH519" s="1359">
        <v>2025</v>
      </c>
      <c r="AI519" s="1359"/>
      <c r="AJ519" s="1359"/>
      <c r="AK519" s="136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719" t="s">
        <v>419</v>
      </c>
      <c r="C520" s="1492"/>
      <c r="D520" s="1492"/>
      <c r="E520" s="1492"/>
      <c r="F520" s="1492"/>
      <c r="G520" s="1492"/>
      <c r="H520" s="1493"/>
      <c r="I520" s="41" t="s">
        <v>420</v>
      </c>
      <c r="J520" s="42"/>
      <c r="K520" s="42"/>
      <c r="L520" s="42"/>
      <c r="M520" s="42"/>
      <c r="N520" s="42"/>
      <c r="O520" s="1781" t="s">
        <v>2716</v>
      </c>
      <c r="P520" s="1782"/>
      <c r="Q520" s="1782"/>
      <c r="R520" s="1782"/>
      <c r="S520" s="1782"/>
      <c r="T520" s="1782"/>
      <c r="U520" s="1782"/>
      <c r="V520" s="1782"/>
      <c r="W520" s="1782"/>
      <c r="X520" s="1782"/>
      <c r="Y520" s="1782"/>
      <c r="Z520" s="1782"/>
      <c r="AA520" s="1782"/>
      <c r="AB520" s="58"/>
      <c r="AC520" s="1364" t="s">
        <v>599</v>
      </c>
      <c r="AD520" s="1365"/>
      <c r="AE520" s="1365"/>
      <c r="AF520" s="1365"/>
      <c r="AG520" s="129" t="s">
        <v>403</v>
      </c>
      <c r="AH520" s="1359"/>
      <c r="AI520" s="1359"/>
      <c r="AJ520" s="1359"/>
      <c r="AK520" s="136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720"/>
      <c r="C521" s="1494"/>
      <c r="D521" s="1494"/>
      <c r="E521" s="1494"/>
      <c r="F521" s="1494"/>
      <c r="G521" s="1494"/>
      <c r="H521" s="1495"/>
      <c r="I521" s="114" t="s">
        <v>421</v>
      </c>
      <c r="AB521" s="65"/>
      <c r="AC521" s="1775" t="s">
        <v>599</v>
      </c>
      <c r="AD521" s="1668"/>
      <c r="AE521" s="1668"/>
      <c r="AF521" s="1668"/>
      <c r="AG521" s="13" t="s">
        <v>403</v>
      </c>
      <c r="AH521" s="1359"/>
      <c r="AI521" s="1359"/>
      <c r="AJ521" s="1359"/>
      <c r="AK521" s="136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720"/>
      <c r="C522" s="1494"/>
      <c r="D522" s="1494"/>
      <c r="E522" s="1494"/>
      <c r="F522" s="1494"/>
      <c r="G522" s="1494"/>
      <c r="H522" s="1495"/>
      <c r="I522" s="47" t="s">
        <v>422</v>
      </c>
      <c r="J522" s="48"/>
      <c r="K522" s="48"/>
      <c r="L522" s="48"/>
      <c r="M522" s="48"/>
      <c r="N522" s="48"/>
      <c r="O522" s="48"/>
      <c r="P522" s="48"/>
      <c r="Q522" s="48"/>
      <c r="R522" s="48"/>
      <c r="S522" s="48"/>
      <c r="T522" s="48"/>
      <c r="U522" s="48"/>
      <c r="V522" s="48"/>
      <c r="W522" s="48"/>
      <c r="X522" s="48"/>
      <c r="Y522" s="48"/>
      <c r="Z522" s="48"/>
      <c r="AA522" s="48"/>
      <c r="AB522" s="49"/>
      <c r="AC522" s="1775">
        <v>9</v>
      </c>
      <c r="AD522" s="1668"/>
      <c r="AE522" s="1668"/>
      <c r="AF522" s="1668"/>
      <c r="AG522" s="38" t="s">
        <v>403</v>
      </c>
      <c r="AH522" s="1359">
        <v>2022</v>
      </c>
      <c r="AI522" s="1359"/>
      <c r="AJ522" s="1359"/>
      <c r="AK522" s="136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720"/>
      <c r="C523" s="1494"/>
      <c r="D523" s="1494"/>
      <c r="E523" s="1494"/>
      <c r="F523" s="1494"/>
      <c r="G523" s="1494"/>
      <c r="H523" s="1495"/>
      <c r="I523" s="42" t="s">
        <v>423</v>
      </c>
      <c r="J523" s="42"/>
      <c r="K523" s="42"/>
      <c r="L523" s="42"/>
      <c r="M523" s="42"/>
      <c r="N523" s="42"/>
      <c r="O523" s="1781" t="s">
        <v>2717</v>
      </c>
      <c r="P523" s="1782"/>
      <c r="Q523" s="1782"/>
      <c r="R523" s="1782"/>
      <c r="S523" s="1782"/>
      <c r="T523" s="1782"/>
      <c r="U523" s="1782"/>
      <c r="V523" s="1782"/>
      <c r="W523" s="1782"/>
      <c r="X523" s="1782"/>
      <c r="Y523" s="1782"/>
      <c r="Z523" s="1782"/>
      <c r="AA523" s="1782"/>
      <c r="AC523" s="1775" t="s">
        <v>599</v>
      </c>
      <c r="AD523" s="1668"/>
      <c r="AE523" s="1668"/>
      <c r="AF523" s="1668"/>
      <c r="AG523" s="13" t="s">
        <v>403</v>
      </c>
      <c r="AH523" s="1359"/>
      <c r="AI523" s="1359"/>
      <c r="AJ523" s="1359"/>
      <c r="AK523" s="136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720"/>
      <c r="C524" s="1494"/>
      <c r="D524" s="1494"/>
      <c r="E524" s="1494"/>
      <c r="F524" s="1494"/>
      <c r="G524" s="1494"/>
      <c r="H524" s="1495"/>
      <c r="I524" t="s">
        <v>421</v>
      </c>
      <c r="AC524" s="1775" t="s">
        <v>599</v>
      </c>
      <c r="AD524" s="1668"/>
      <c r="AE524" s="1668"/>
      <c r="AF524" s="1668"/>
      <c r="AG524" s="13" t="s">
        <v>403</v>
      </c>
      <c r="AH524" s="1359"/>
      <c r="AI524" s="1359"/>
      <c r="AJ524" s="1359"/>
      <c r="AK524" s="136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720"/>
      <c r="C525" s="1494"/>
      <c r="D525" s="1494"/>
      <c r="E525" s="1494"/>
      <c r="F525" s="1494"/>
      <c r="G525" s="1494"/>
      <c r="H525" s="1495"/>
      <c r="I525" s="48" t="s">
        <v>422</v>
      </c>
      <c r="J525" s="48"/>
      <c r="K525" s="48"/>
      <c r="L525" s="48"/>
      <c r="M525" s="48"/>
      <c r="N525" s="48"/>
      <c r="O525" s="48"/>
      <c r="P525" s="48"/>
      <c r="Q525" s="48"/>
      <c r="R525" s="48"/>
      <c r="S525" s="48"/>
      <c r="T525" s="48"/>
      <c r="U525" s="48"/>
      <c r="V525" s="48"/>
      <c r="W525" s="48"/>
      <c r="X525" s="48"/>
      <c r="Y525" s="48"/>
      <c r="Z525" s="48"/>
      <c r="AA525" s="48"/>
      <c r="AB525" s="48"/>
      <c r="AC525" s="1775">
        <v>2</v>
      </c>
      <c r="AD525" s="1668"/>
      <c r="AE525" s="1668"/>
      <c r="AF525" s="1668"/>
      <c r="AG525" s="38" t="s">
        <v>403</v>
      </c>
      <c r="AH525" s="1359">
        <v>2025</v>
      </c>
      <c r="AI525" s="1359"/>
      <c r="AJ525" s="1359"/>
      <c r="AK525" s="136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20"/>
      <c r="C526" s="1494"/>
      <c r="D526" s="1494"/>
      <c r="E526" s="1494"/>
      <c r="F526" s="1494"/>
      <c r="G526" s="1494"/>
      <c r="H526" s="1495"/>
      <c r="I526" s="42" t="s">
        <v>423</v>
      </c>
      <c r="J526" s="42"/>
      <c r="K526" s="42"/>
      <c r="L526" s="42"/>
      <c r="M526" s="42"/>
      <c r="N526" s="42"/>
      <c r="O526" s="1781" t="s">
        <v>334</v>
      </c>
      <c r="P526" s="1782"/>
      <c r="Q526" s="1782"/>
      <c r="R526" s="1782"/>
      <c r="S526" s="1782"/>
      <c r="T526" s="1782"/>
      <c r="U526" s="1782"/>
      <c r="V526" s="1782"/>
      <c r="W526" s="1782"/>
      <c r="X526" s="1782"/>
      <c r="Y526" s="1782"/>
      <c r="Z526" s="1782"/>
      <c r="AA526" s="1782"/>
      <c r="AC526" s="1775" t="s">
        <v>599</v>
      </c>
      <c r="AD526" s="1668"/>
      <c r="AE526" s="1668"/>
      <c r="AF526" s="1668"/>
      <c r="AG526" s="13" t="s">
        <v>403</v>
      </c>
      <c r="AH526" s="1359"/>
      <c r="AI526" s="1359"/>
      <c r="AJ526" s="1359"/>
      <c r="AK526" s="136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20"/>
      <c r="C527" s="1494"/>
      <c r="D527" s="1494"/>
      <c r="E527" s="1494"/>
      <c r="F527" s="1494"/>
      <c r="G527" s="1494"/>
      <c r="H527" s="1495"/>
      <c r="I527" t="s">
        <v>421</v>
      </c>
      <c r="AC527" s="1775" t="s">
        <v>599</v>
      </c>
      <c r="AD527" s="1668"/>
      <c r="AE527" s="1668"/>
      <c r="AF527" s="1668"/>
      <c r="AG527" s="13" t="s">
        <v>403</v>
      </c>
      <c r="AH527" s="1359"/>
      <c r="AI527" s="1359"/>
      <c r="AJ527" s="1359"/>
      <c r="AK527" s="136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20"/>
      <c r="C528" s="1494"/>
      <c r="D528" s="1494"/>
      <c r="E528" s="1494"/>
      <c r="F528" s="1494"/>
      <c r="G528" s="1494"/>
      <c r="H528" s="1495"/>
      <c r="I528" s="48" t="s">
        <v>422</v>
      </c>
      <c r="J528" s="48"/>
      <c r="K528" s="48"/>
      <c r="L528" s="48"/>
      <c r="M528" s="48"/>
      <c r="N528" s="48"/>
      <c r="O528" s="48"/>
      <c r="P528" s="48"/>
      <c r="Q528" s="48"/>
      <c r="R528" s="48"/>
      <c r="S528" s="48"/>
      <c r="T528" s="48"/>
      <c r="U528" s="48"/>
      <c r="V528" s="48"/>
      <c r="W528" s="48"/>
      <c r="X528" s="48"/>
      <c r="Y528" s="48"/>
      <c r="Z528" s="48"/>
      <c r="AA528" s="48"/>
      <c r="AB528" s="48"/>
      <c r="AC528" s="1775" t="s">
        <v>599</v>
      </c>
      <c r="AD528" s="1668"/>
      <c r="AE528" s="1668"/>
      <c r="AF528" s="1668"/>
      <c r="AG528" s="38" t="s">
        <v>403</v>
      </c>
      <c r="AH528" s="1359"/>
      <c r="AI528" s="1359"/>
      <c r="AJ528" s="1359"/>
      <c r="AK528" s="136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20"/>
      <c r="C529" s="1494"/>
      <c r="D529" s="1494"/>
      <c r="E529" s="1494"/>
      <c r="F529" s="1494"/>
      <c r="G529" s="1494"/>
      <c r="H529" s="1495"/>
      <c r="I529" s="42" t="s">
        <v>423</v>
      </c>
      <c r="J529" s="42"/>
      <c r="K529" s="42"/>
      <c r="L529" s="42"/>
      <c r="M529" s="42"/>
      <c r="N529" s="42"/>
      <c r="O529" s="1781" t="s">
        <v>334</v>
      </c>
      <c r="P529" s="1782"/>
      <c r="Q529" s="1782"/>
      <c r="R529" s="1782"/>
      <c r="S529" s="1782"/>
      <c r="T529" s="1782"/>
      <c r="U529" s="1782"/>
      <c r="V529" s="1782"/>
      <c r="W529" s="1782"/>
      <c r="X529" s="1782"/>
      <c r="Y529" s="1782"/>
      <c r="Z529" s="1782"/>
      <c r="AA529" s="1782"/>
      <c r="AC529" s="1775" t="s">
        <v>599</v>
      </c>
      <c r="AD529" s="1668"/>
      <c r="AE529" s="1668"/>
      <c r="AF529" s="1668"/>
      <c r="AG529" s="13" t="s">
        <v>403</v>
      </c>
      <c r="AH529" s="1359"/>
      <c r="AI529" s="1359"/>
      <c r="AJ529" s="1359"/>
      <c r="AK529" s="136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20"/>
      <c r="C530" s="1494"/>
      <c r="D530" s="1494"/>
      <c r="E530" s="1494"/>
      <c r="F530" s="1494"/>
      <c r="G530" s="1494"/>
      <c r="H530" s="1495"/>
      <c r="I530" t="s">
        <v>421</v>
      </c>
      <c r="AC530" s="1775" t="s">
        <v>599</v>
      </c>
      <c r="AD530" s="1668"/>
      <c r="AE530" s="1668"/>
      <c r="AF530" s="1668"/>
      <c r="AG530" s="13" t="s">
        <v>403</v>
      </c>
      <c r="AH530" s="1359"/>
      <c r="AI530" s="1359"/>
      <c r="AJ530" s="1359"/>
      <c r="AK530" s="136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20"/>
      <c r="C531" s="1494"/>
      <c r="D531" s="1494"/>
      <c r="E531" s="1494"/>
      <c r="F531" s="1494"/>
      <c r="G531" s="1494"/>
      <c r="H531" s="1495"/>
      <c r="I531" s="48" t="s">
        <v>422</v>
      </c>
      <c r="J531" s="48"/>
      <c r="K531" s="48"/>
      <c r="L531" s="48"/>
      <c r="M531" s="48"/>
      <c r="N531" s="48"/>
      <c r="O531" s="48"/>
      <c r="P531" s="48"/>
      <c r="Q531" s="48"/>
      <c r="R531" s="48"/>
      <c r="S531" s="48"/>
      <c r="T531" s="48"/>
      <c r="U531" s="48"/>
      <c r="V531" s="48"/>
      <c r="W531" s="48"/>
      <c r="X531" s="48"/>
      <c r="Y531" s="48"/>
      <c r="Z531" s="48"/>
      <c r="AA531" s="48"/>
      <c r="AB531" s="48"/>
      <c r="AC531" s="1775" t="s">
        <v>599</v>
      </c>
      <c r="AD531" s="1668"/>
      <c r="AE531" s="1668"/>
      <c r="AF531" s="1668"/>
      <c r="AG531" s="38" t="s">
        <v>403</v>
      </c>
      <c r="AH531" s="1359"/>
      <c r="AI531" s="1359"/>
      <c r="AJ531" s="1359"/>
      <c r="AK531" s="136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20"/>
      <c r="C532" s="1494"/>
      <c r="D532" s="1494"/>
      <c r="E532" s="1494"/>
      <c r="F532" s="1494"/>
      <c r="G532" s="1494"/>
      <c r="H532" s="1495"/>
      <c r="I532" s="42" t="s">
        <v>423</v>
      </c>
      <c r="J532" s="42"/>
      <c r="K532" s="42"/>
      <c r="L532" s="42"/>
      <c r="M532" s="42"/>
      <c r="N532" s="42"/>
      <c r="O532" s="1781" t="s">
        <v>334</v>
      </c>
      <c r="P532" s="1782"/>
      <c r="Q532" s="1782"/>
      <c r="R532" s="1782"/>
      <c r="S532" s="1782"/>
      <c r="T532" s="1782"/>
      <c r="U532" s="1782"/>
      <c r="V532" s="1782"/>
      <c r="W532" s="1782"/>
      <c r="X532" s="1782"/>
      <c r="Y532" s="1782"/>
      <c r="Z532" s="1782"/>
      <c r="AA532" s="1782"/>
      <c r="AC532" s="1775" t="s">
        <v>599</v>
      </c>
      <c r="AD532" s="1668"/>
      <c r="AE532" s="1668"/>
      <c r="AF532" s="1668"/>
      <c r="AG532" s="13" t="s">
        <v>403</v>
      </c>
      <c r="AH532" s="1359"/>
      <c r="AI532" s="1359"/>
      <c r="AJ532" s="1359"/>
      <c r="AK532" s="136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20"/>
      <c r="C533" s="1494"/>
      <c r="D533" s="1494"/>
      <c r="E533" s="1494"/>
      <c r="F533" s="1494"/>
      <c r="G533" s="1494"/>
      <c r="H533" s="1495"/>
      <c r="I533" t="s">
        <v>421</v>
      </c>
      <c r="AC533" s="1775" t="s">
        <v>599</v>
      </c>
      <c r="AD533" s="1668"/>
      <c r="AE533" s="1668"/>
      <c r="AF533" s="1668"/>
      <c r="AG533" s="38" t="s">
        <v>403</v>
      </c>
      <c r="AH533" s="1359"/>
      <c r="AI533" s="1359"/>
      <c r="AJ533" s="1359"/>
      <c r="AK533" s="136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20"/>
      <c r="C534" s="1494"/>
      <c r="D534" s="1494"/>
      <c r="E534" s="1494"/>
      <c r="F534" s="1494"/>
      <c r="G534" s="1494"/>
      <c r="H534" s="1495"/>
      <c r="I534" s="48" t="s">
        <v>422</v>
      </c>
      <c r="J534" s="48"/>
      <c r="K534" s="48"/>
      <c r="L534" s="48"/>
      <c r="M534" s="48"/>
      <c r="N534" s="48"/>
      <c r="O534" s="48"/>
      <c r="P534" s="48"/>
      <c r="Q534" s="48"/>
      <c r="R534" s="48"/>
      <c r="S534" s="48"/>
      <c r="T534" s="48"/>
      <c r="U534" s="48"/>
      <c r="V534" s="48"/>
      <c r="W534" s="48"/>
      <c r="X534" s="48"/>
      <c r="Y534" s="48"/>
      <c r="Z534" s="48"/>
      <c r="AA534" s="48"/>
      <c r="AB534" s="48"/>
      <c r="AC534" s="1775" t="s">
        <v>599</v>
      </c>
      <c r="AD534" s="1668"/>
      <c r="AE534" s="1668"/>
      <c r="AF534" s="1668"/>
      <c r="AG534" s="13" t="s">
        <v>403</v>
      </c>
      <c r="AH534" s="1359"/>
      <c r="AI534" s="1359"/>
      <c r="AJ534" s="1359"/>
      <c r="AK534" s="136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20"/>
      <c r="C535" s="1494"/>
      <c r="D535" s="1494"/>
      <c r="E535" s="1494"/>
      <c r="F535" s="1494"/>
      <c r="G535" s="1494"/>
      <c r="H535" s="1495"/>
      <c r="I535" s="42" t="s">
        <v>423</v>
      </c>
      <c r="J535" s="42"/>
      <c r="K535" s="42"/>
      <c r="L535" s="42"/>
      <c r="M535" s="42"/>
      <c r="N535" s="42"/>
      <c r="O535" s="1781" t="s">
        <v>334</v>
      </c>
      <c r="P535" s="1782"/>
      <c r="Q535" s="1782"/>
      <c r="R535" s="1782"/>
      <c r="S535" s="1782"/>
      <c r="T535" s="1782"/>
      <c r="U535" s="1782"/>
      <c r="V535" s="1782"/>
      <c r="W535" s="1782"/>
      <c r="X535" s="1782"/>
      <c r="Y535" s="1782"/>
      <c r="Z535" s="1782"/>
      <c r="AA535" s="1782"/>
      <c r="AC535" s="1775" t="s">
        <v>599</v>
      </c>
      <c r="AD535" s="1668"/>
      <c r="AE535" s="1668"/>
      <c r="AF535" s="1668"/>
      <c r="AG535" s="38" t="s">
        <v>403</v>
      </c>
      <c r="AH535" s="1359"/>
      <c r="AI535" s="1359"/>
      <c r="AJ535" s="1359"/>
      <c r="AK535" s="136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20"/>
      <c r="C536" s="1494"/>
      <c r="D536" s="1494"/>
      <c r="E536" s="1494"/>
      <c r="F536" s="1494"/>
      <c r="G536" s="1494"/>
      <c r="H536" s="1495"/>
      <c r="I536" t="s">
        <v>421</v>
      </c>
      <c r="AC536" s="1775" t="s">
        <v>599</v>
      </c>
      <c r="AD536" s="1668"/>
      <c r="AE536" s="1668"/>
      <c r="AF536" s="1668"/>
      <c r="AG536" s="13" t="s">
        <v>403</v>
      </c>
      <c r="AH536" s="1359"/>
      <c r="AI536" s="1359"/>
      <c r="AJ536" s="1359"/>
      <c r="AK536" s="136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20"/>
      <c r="C537" s="1494"/>
      <c r="D537" s="1494"/>
      <c r="E537" s="1494"/>
      <c r="F537" s="1494"/>
      <c r="G537" s="1494"/>
      <c r="H537" s="1495"/>
      <c r="I537" s="48" t="s">
        <v>422</v>
      </c>
      <c r="J537" s="48"/>
      <c r="K537" s="48"/>
      <c r="L537" s="48"/>
      <c r="M537" s="48"/>
      <c r="N537" s="48"/>
      <c r="O537" s="48"/>
      <c r="P537" s="48"/>
      <c r="Q537" s="48"/>
      <c r="R537" s="48"/>
      <c r="S537" s="48"/>
      <c r="T537" s="48"/>
      <c r="U537" s="48"/>
      <c r="V537" s="48"/>
      <c r="W537" s="48"/>
      <c r="X537" s="48"/>
      <c r="Y537" s="48"/>
      <c r="Z537" s="48"/>
      <c r="AA537" s="48"/>
      <c r="AB537" s="48"/>
      <c r="AC537" s="1775" t="s">
        <v>599</v>
      </c>
      <c r="AD537" s="1668"/>
      <c r="AE537" s="1668"/>
      <c r="AF537" s="1668"/>
      <c r="AG537" s="38" t="s">
        <v>403</v>
      </c>
      <c r="AH537" s="1359"/>
      <c r="AI537" s="1359"/>
      <c r="AJ537" s="1359"/>
      <c r="AK537" s="136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20"/>
      <c r="C538" s="1494"/>
      <c r="D538" s="1494"/>
      <c r="E538" s="1494"/>
      <c r="F538" s="1494"/>
      <c r="G538" s="1494"/>
      <c r="H538" s="1495"/>
      <c r="I538" s="42" t="s">
        <v>570</v>
      </c>
      <c r="J538" s="42"/>
      <c r="K538" s="42"/>
      <c r="L538" s="42"/>
      <c r="M538" s="42"/>
      <c r="N538" s="42"/>
      <c r="O538" s="42"/>
      <c r="P538" s="42"/>
      <c r="Q538" s="42"/>
      <c r="R538" s="42"/>
      <c r="S538" s="42"/>
      <c r="T538" s="42"/>
      <c r="U538" s="42"/>
      <c r="V538" s="42"/>
      <c r="W538" s="42"/>
      <c r="AC538" s="1775" t="s">
        <v>599</v>
      </c>
      <c r="AD538" s="1668"/>
      <c r="AE538" s="1668"/>
      <c r="AF538" s="1668"/>
      <c r="AG538" s="38" t="s">
        <v>403</v>
      </c>
      <c r="AH538" s="1359"/>
      <c r="AI538" s="1359"/>
      <c r="AJ538" s="1359"/>
      <c r="AK538" s="136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20"/>
      <c r="C539" s="1494"/>
      <c r="D539" s="1494"/>
      <c r="E539" s="1494"/>
      <c r="F539" s="1494"/>
      <c r="G539" s="1494"/>
      <c r="H539" s="1495"/>
      <c r="I539" t="s">
        <v>571</v>
      </c>
      <c r="AC539" s="1775">
        <v>2</v>
      </c>
      <c r="AD539" s="1668"/>
      <c r="AE539" s="1668"/>
      <c r="AF539" s="1668"/>
      <c r="AG539" s="13" t="s">
        <v>403</v>
      </c>
      <c r="AH539" s="1359">
        <v>2025</v>
      </c>
      <c r="AI539" s="1359"/>
      <c r="AJ539" s="1359"/>
      <c r="AK539" s="136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20"/>
      <c r="C540" s="1494"/>
      <c r="D540" s="1494"/>
      <c r="E540" s="1494"/>
      <c r="F540" s="1494"/>
      <c r="G540" s="1494"/>
      <c r="H540" s="1495"/>
      <c r="I540" t="s">
        <v>572</v>
      </c>
      <c r="AC540" s="1775">
        <v>2</v>
      </c>
      <c r="AD540" s="1668"/>
      <c r="AE540" s="1668"/>
      <c r="AF540" s="1668"/>
      <c r="AG540" s="38" t="s">
        <v>403</v>
      </c>
      <c r="AH540" s="1359">
        <v>2027</v>
      </c>
      <c r="AI540" s="1359"/>
      <c r="AJ540" s="1359"/>
      <c r="AK540" s="136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720"/>
      <c r="C541" s="1494"/>
      <c r="D541" s="1494"/>
      <c r="E541" s="1494"/>
      <c r="F541" s="1494"/>
      <c r="G541" s="1494"/>
      <c r="H541" s="1495"/>
      <c r="I541" t="s">
        <v>573</v>
      </c>
      <c r="AC541" s="1775">
        <v>2</v>
      </c>
      <c r="AD541" s="1668"/>
      <c r="AE541" s="1668"/>
      <c r="AF541" s="1668"/>
      <c r="AG541" s="38" t="s">
        <v>403</v>
      </c>
      <c r="AH541" s="1359">
        <v>2027</v>
      </c>
      <c r="AI541" s="1359"/>
      <c r="AJ541" s="1359"/>
      <c r="AK541" s="136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21"/>
      <c r="C542" s="1496"/>
      <c r="D542" s="1496"/>
      <c r="E542" s="1496"/>
      <c r="F542" s="1496"/>
      <c r="G542" s="1496"/>
      <c r="H542" s="1497"/>
      <c r="I542" s="48" t="s">
        <v>459</v>
      </c>
      <c r="J542" s="48"/>
      <c r="K542" s="48"/>
      <c r="L542" s="48"/>
      <c r="M542" s="48"/>
      <c r="N542" s="48"/>
      <c r="O542" s="48"/>
      <c r="P542" s="48"/>
      <c r="Q542" s="48"/>
      <c r="R542" s="48"/>
      <c r="S542" s="48"/>
      <c r="T542" s="48"/>
      <c r="U542" s="48"/>
      <c r="V542" s="48"/>
      <c r="W542" s="48"/>
      <c r="X542" s="48"/>
      <c r="Y542" s="48"/>
      <c r="Z542" s="48"/>
      <c r="AA542" s="48"/>
      <c r="AB542" s="48"/>
      <c r="AC542" s="1775">
        <v>5</v>
      </c>
      <c r="AD542" s="1668"/>
      <c r="AE542" s="1668"/>
      <c r="AF542" s="1668"/>
      <c r="AG542" s="38" t="s">
        <v>403</v>
      </c>
      <c r="AH542" s="1359">
        <v>2027</v>
      </c>
      <c r="AI542" s="1359"/>
      <c r="AJ542" s="1359"/>
      <c r="AK542" s="136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719" t="s">
        <v>2422</v>
      </c>
      <c r="C551" s="1492"/>
      <c r="D551" s="1492"/>
      <c r="E551" s="1492"/>
      <c r="F551" s="1492"/>
      <c r="G551" s="1492"/>
      <c r="H551" s="1492"/>
      <c r="I551" s="1492"/>
      <c r="J551" s="1492"/>
      <c r="K551" s="1492"/>
      <c r="L551" s="1493"/>
      <c r="M551" s="1719" t="s">
        <v>2423</v>
      </c>
      <c r="N551" s="1492"/>
      <c r="O551" s="1492"/>
      <c r="P551" s="1493"/>
      <c r="Q551" s="1719" t="s">
        <v>2449</v>
      </c>
      <c r="R551" s="1492"/>
      <c r="S551" s="1493"/>
      <c r="T551" s="1719" t="s">
        <v>2450</v>
      </c>
      <c r="U551" s="1492"/>
      <c r="V551" s="1493"/>
      <c r="W551" s="1719" t="s">
        <v>461</v>
      </c>
      <c r="X551" s="1492"/>
      <c r="Y551" s="1493"/>
      <c r="Z551" s="1719" t="s">
        <v>2043</v>
      </c>
      <c r="AA551" s="1492"/>
      <c r="AB551" s="1492"/>
      <c r="AC551" s="1492"/>
      <c r="AD551" s="1493"/>
      <c r="AE551" s="1719" t="s">
        <v>1865</v>
      </c>
      <c r="AF551" s="1492"/>
      <c r="AG551" s="1492"/>
      <c r="AH551" s="1493"/>
      <c r="AI551" s="1719" t="s">
        <v>1866</v>
      </c>
      <c r="AJ551" s="1492"/>
      <c r="AK551" s="1492"/>
      <c r="AL551" s="1493"/>
      <c r="AM551" s="1719" t="s">
        <v>462</v>
      </c>
      <c r="AN551" s="1492"/>
      <c r="AO551" s="1492"/>
      <c r="AP551" s="1492"/>
      <c r="AQ551" s="1492"/>
      <c r="AR551" s="1492"/>
      <c r="AS551" s="149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720"/>
      <c r="C552" s="1494"/>
      <c r="D552" s="1494"/>
      <c r="E552" s="1494"/>
      <c r="F552" s="1494"/>
      <c r="G552" s="1494"/>
      <c r="H552" s="1494"/>
      <c r="I552" s="1494"/>
      <c r="J552" s="1494"/>
      <c r="K552" s="1494"/>
      <c r="L552" s="1495"/>
      <c r="M552" s="1720"/>
      <c r="N552" s="1494"/>
      <c r="O552" s="1494"/>
      <c r="P552" s="1495"/>
      <c r="Q552" s="1720"/>
      <c r="R552" s="1494"/>
      <c r="S552" s="1495"/>
      <c r="T552" s="1720"/>
      <c r="U552" s="1494"/>
      <c r="V552" s="1495"/>
      <c r="W552" s="1720"/>
      <c r="X552" s="1494"/>
      <c r="Y552" s="1495"/>
      <c r="Z552" s="1720"/>
      <c r="AA552" s="1494"/>
      <c r="AB552" s="1494"/>
      <c r="AC552" s="1494"/>
      <c r="AD552" s="1495"/>
      <c r="AE552" s="1720"/>
      <c r="AF552" s="1494"/>
      <c r="AG552" s="1494"/>
      <c r="AH552" s="1495"/>
      <c r="AI552" s="1720"/>
      <c r="AJ552" s="1494"/>
      <c r="AK552" s="1494"/>
      <c r="AL552" s="1495"/>
      <c r="AM552" s="1720"/>
      <c r="AN552" s="1494"/>
      <c r="AO552" s="1494"/>
      <c r="AP552" s="1494"/>
      <c r="AQ552" s="1494"/>
      <c r="AR552" s="1494"/>
      <c r="AS552" s="149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21"/>
      <c r="C553" s="1496"/>
      <c r="D553" s="1496"/>
      <c r="E553" s="1496"/>
      <c r="F553" s="1496"/>
      <c r="G553" s="1496"/>
      <c r="H553" s="1496"/>
      <c r="I553" s="1496"/>
      <c r="J553" s="1496"/>
      <c r="K553" s="1496"/>
      <c r="L553" s="1497"/>
      <c r="M553" s="1721"/>
      <c r="N553" s="1496"/>
      <c r="O553" s="1496"/>
      <c r="P553" s="1497"/>
      <c r="Q553" s="1721"/>
      <c r="R553" s="1496"/>
      <c r="S553" s="1497"/>
      <c r="T553" s="1721"/>
      <c r="U553" s="1496"/>
      <c r="V553" s="1497"/>
      <c r="W553" s="1721"/>
      <c r="X553" s="1496"/>
      <c r="Y553" s="1497"/>
      <c r="Z553" s="1721"/>
      <c r="AA553" s="1496"/>
      <c r="AB553" s="1496"/>
      <c r="AC553" s="1496"/>
      <c r="AD553" s="1497"/>
      <c r="AE553" s="1721"/>
      <c r="AF553" s="1496"/>
      <c r="AG553" s="1496"/>
      <c r="AH553" s="1497"/>
      <c r="AI553" s="1721"/>
      <c r="AJ553" s="1496"/>
      <c r="AK553" s="1496"/>
      <c r="AL553" s="1497"/>
      <c r="AM553" s="1721"/>
      <c r="AN553" s="1496"/>
      <c r="AO553" s="1496"/>
      <c r="AP553" s="1496"/>
      <c r="AQ553" s="1496"/>
      <c r="AR553" s="1496"/>
      <c r="AS553" s="149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50" t="s">
        <v>2718</v>
      </c>
      <c r="D554" s="1450"/>
      <c r="E554" s="1450"/>
      <c r="F554" s="1450"/>
      <c r="G554" s="1450"/>
      <c r="H554" s="1450"/>
      <c r="I554" s="1450"/>
      <c r="J554" s="1450"/>
      <c r="K554" s="1450"/>
      <c r="L554" s="1450"/>
      <c r="M554" s="1450" t="s">
        <v>2439</v>
      </c>
      <c r="N554" s="1450"/>
      <c r="O554" s="1450"/>
      <c r="P554" s="1450"/>
      <c r="Q554" s="1469">
        <v>32</v>
      </c>
      <c r="R554" s="1469"/>
      <c r="S554" s="1470"/>
      <c r="T554" s="1468">
        <v>32</v>
      </c>
      <c r="U554" s="1469"/>
      <c r="V554" s="1470"/>
      <c r="W554" s="1650">
        <v>7.3200000000000001E-2</v>
      </c>
      <c r="X554" s="1651"/>
      <c r="Y554" s="1652"/>
      <c r="Z554" s="1472" t="s">
        <v>2722</v>
      </c>
      <c r="AA554" s="1472"/>
      <c r="AB554" s="1472"/>
      <c r="AC554" s="1472"/>
      <c r="AD554" s="1472"/>
      <c r="AE554" s="1711">
        <v>1</v>
      </c>
      <c r="AF554" s="1712"/>
      <c r="AG554" s="1712"/>
      <c r="AH554" s="1713"/>
      <c r="AI554" s="1755"/>
      <c r="AJ554" s="1756"/>
      <c r="AK554" s="1756"/>
      <c r="AL554" s="1757"/>
      <c r="AM554" s="1715">
        <v>29358653</v>
      </c>
      <c r="AN554" s="1716"/>
      <c r="AO554" s="1716"/>
      <c r="AP554" s="1716"/>
      <c r="AQ554" s="1716"/>
      <c r="AR554" s="1716"/>
      <c r="AS554" s="171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97" t="s">
        <v>2716</v>
      </c>
      <c r="D555" s="1697"/>
      <c r="E555" s="1697"/>
      <c r="F555" s="1697"/>
      <c r="G555" s="1697"/>
      <c r="H555" s="1697"/>
      <c r="I555" s="1697"/>
      <c r="J555" s="1697"/>
      <c r="K555" s="1697"/>
      <c r="L555" s="1697"/>
      <c r="M555" s="1450" t="s">
        <v>2432</v>
      </c>
      <c r="N555" s="1450"/>
      <c r="O555" s="1450"/>
      <c r="P555" s="1450"/>
      <c r="Q555" s="1468"/>
      <c r="R555" s="1469"/>
      <c r="S555" s="1470"/>
      <c r="T555" s="1468"/>
      <c r="U555" s="1469"/>
      <c r="V555" s="1470"/>
      <c r="W555" s="1650"/>
      <c r="X555" s="1651"/>
      <c r="Y555" s="1652"/>
      <c r="Z555" s="1472" t="s">
        <v>1290</v>
      </c>
      <c r="AA555" s="1472"/>
      <c r="AB555" s="1472"/>
      <c r="AC555" s="1472"/>
      <c r="AD555" s="1472"/>
      <c r="AE555" s="1711"/>
      <c r="AF555" s="1712"/>
      <c r="AG555" s="1712"/>
      <c r="AH555" s="1713"/>
      <c r="AI555" s="1755"/>
      <c r="AJ555" s="1756"/>
      <c r="AK555" s="1756"/>
      <c r="AL555" s="1757"/>
      <c r="AM555" s="1715">
        <v>3000000</v>
      </c>
      <c r="AN555" s="1716"/>
      <c r="AO555" s="1716"/>
      <c r="AP555" s="1716"/>
      <c r="AQ555" s="1716"/>
      <c r="AR555" s="1716"/>
      <c r="AS555" s="171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7" t="s">
        <v>2719</v>
      </c>
      <c r="D556" s="1697"/>
      <c r="E556" s="1697"/>
      <c r="F556" s="1697"/>
      <c r="G556" s="1697"/>
      <c r="H556" s="1697"/>
      <c r="I556" s="1697"/>
      <c r="J556" s="1697"/>
      <c r="K556" s="1697"/>
      <c r="L556" s="1697"/>
      <c r="M556" s="1450" t="s">
        <v>2438</v>
      </c>
      <c r="N556" s="1450"/>
      <c r="O556" s="1450"/>
      <c r="P556" s="1450"/>
      <c r="Q556" s="1468">
        <v>32</v>
      </c>
      <c r="R556" s="1469"/>
      <c r="S556" s="1470"/>
      <c r="T556" s="1468">
        <v>32</v>
      </c>
      <c r="U556" s="1469"/>
      <c r="V556" s="1470"/>
      <c r="W556" s="1650">
        <v>7.5700000000000003E-2</v>
      </c>
      <c r="X556" s="1651"/>
      <c r="Y556" s="1652"/>
      <c r="Z556" s="1472" t="s">
        <v>2722</v>
      </c>
      <c r="AA556" s="1472"/>
      <c r="AB556" s="1472"/>
      <c r="AC556" s="1472"/>
      <c r="AD556" s="1472"/>
      <c r="AE556" s="1711">
        <v>2</v>
      </c>
      <c r="AF556" s="1712"/>
      <c r="AG556" s="1712"/>
      <c r="AH556" s="1713"/>
      <c r="AI556" s="1755"/>
      <c r="AJ556" s="1756"/>
      <c r="AK556" s="1756"/>
      <c r="AL556" s="1757"/>
      <c r="AM556" s="1715">
        <v>12521146</v>
      </c>
      <c r="AN556" s="1716"/>
      <c r="AO556" s="1716"/>
      <c r="AP556" s="1716"/>
      <c r="AQ556" s="1716"/>
      <c r="AR556" s="1716"/>
      <c r="AS556" s="171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7" t="s">
        <v>2720</v>
      </c>
      <c r="D557" s="1697"/>
      <c r="E557" s="1697"/>
      <c r="F557" s="1697"/>
      <c r="G557" s="1697"/>
      <c r="H557" s="1697"/>
      <c r="I557" s="1697"/>
      <c r="J557" s="1697"/>
      <c r="K557" s="1697"/>
      <c r="L557" s="1697"/>
      <c r="M557" s="1450" t="s">
        <v>2440</v>
      </c>
      <c r="N557" s="1450"/>
      <c r="O557" s="1450"/>
      <c r="P557" s="1450"/>
      <c r="Q557" s="1468">
        <v>32</v>
      </c>
      <c r="R557" s="1469"/>
      <c r="S557" s="1470"/>
      <c r="T557" s="1468">
        <v>32</v>
      </c>
      <c r="U557" s="1469"/>
      <c r="V557" s="1470"/>
      <c r="W557" s="1650">
        <v>7.3200000000000001E-2</v>
      </c>
      <c r="X557" s="1651"/>
      <c r="Y557" s="1652"/>
      <c r="Z557" s="1472" t="s">
        <v>2722</v>
      </c>
      <c r="AA557" s="1472"/>
      <c r="AB557" s="1472"/>
      <c r="AC557" s="1472"/>
      <c r="AD557" s="1472"/>
      <c r="AE557" s="1711">
        <v>3</v>
      </c>
      <c r="AF557" s="1712"/>
      <c r="AG557" s="1712"/>
      <c r="AH557" s="1713"/>
      <c r="AI557" s="1755"/>
      <c r="AJ557" s="1756"/>
      <c r="AK557" s="1756"/>
      <c r="AL557" s="1757"/>
      <c r="AM557" s="1715">
        <v>4000000</v>
      </c>
      <c r="AN557" s="1716"/>
      <c r="AO557" s="1716"/>
      <c r="AP557" s="1716"/>
      <c r="AQ557" s="1716"/>
      <c r="AR557" s="1716"/>
      <c r="AS557" s="171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7" t="s">
        <v>2721</v>
      </c>
      <c r="D558" s="1697"/>
      <c r="E558" s="1697"/>
      <c r="F558" s="1697"/>
      <c r="G558" s="1697"/>
      <c r="H558" s="1697"/>
      <c r="I558" s="1697"/>
      <c r="J558" s="1697"/>
      <c r="K558" s="1697"/>
      <c r="L558" s="1697"/>
      <c r="M558" s="1450" t="s">
        <v>2425</v>
      </c>
      <c r="N558" s="1450"/>
      <c r="O558" s="1450"/>
      <c r="P558" s="1450"/>
      <c r="Q558" s="1468"/>
      <c r="R558" s="1469"/>
      <c r="S558" s="1470"/>
      <c r="T558" s="1468"/>
      <c r="U558" s="1469"/>
      <c r="V558" s="1470"/>
      <c r="W558" s="1650"/>
      <c r="X558" s="1651"/>
      <c r="Y558" s="1652"/>
      <c r="Z558" s="1472" t="s">
        <v>1290</v>
      </c>
      <c r="AA558" s="1472"/>
      <c r="AB558" s="1472"/>
      <c r="AC558" s="1472"/>
      <c r="AD558" s="1472"/>
      <c r="AE558" s="1711"/>
      <c r="AF558" s="1712"/>
      <c r="AG558" s="1712"/>
      <c r="AH558" s="1713"/>
      <c r="AI558" s="1755"/>
      <c r="AJ558" s="1756"/>
      <c r="AK558" s="1756"/>
      <c r="AL558" s="1757"/>
      <c r="AM558" s="1715">
        <v>2269052</v>
      </c>
      <c r="AN558" s="1716"/>
      <c r="AO558" s="1716"/>
      <c r="AP558" s="1716"/>
      <c r="AQ558" s="1716"/>
      <c r="AR558" s="1716"/>
      <c r="AS558" s="1717"/>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7" t="s">
        <v>1851</v>
      </c>
      <c r="D559" s="1697"/>
      <c r="E559" s="1697"/>
      <c r="F559" s="1697"/>
      <c r="G559" s="1697"/>
      <c r="H559" s="1697"/>
      <c r="I559" s="1697"/>
      <c r="J559" s="1697"/>
      <c r="K559" s="1697"/>
      <c r="L559" s="1697"/>
      <c r="M559" s="1450" t="s">
        <v>2426</v>
      </c>
      <c r="N559" s="1450"/>
      <c r="O559" s="1450"/>
      <c r="P559" s="1450"/>
      <c r="Q559" s="1468"/>
      <c r="R559" s="1469"/>
      <c r="S559" s="1470"/>
      <c r="T559" s="1468"/>
      <c r="U559" s="1469"/>
      <c r="V559" s="1470"/>
      <c r="W559" s="1650"/>
      <c r="X559" s="1651"/>
      <c r="Y559" s="1652"/>
      <c r="Z559" s="1472" t="s">
        <v>1290</v>
      </c>
      <c r="AA559" s="1472"/>
      <c r="AB559" s="1472"/>
      <c r="AC559" s="1472"/>
      <c r="AD559" s="1472"/>
      <c r="AE559" s="1711"/>
      <c r="AF559" s="1712"/>
      <c r="AG559" s="1712"/>
      <c r="AH559" s="1713"/>
      <c r="AI559" s="1755"/>
      <c r="AJ559" s="1756"/>
      <c r="AK559" s="1756"/>
      <c r="AL559" s="1757"/>
      <c r="AM559" s="1715">
        <v>3734263</v>
      </c>
      <c r="AN559" s="1716"/>
      <c r="AO559" s="1716"/>
      <c r="AP559" s="1716"/>
      <c r="AQ559" s="1716"/>
      <c r="AR559" s="1716"/>
      <c r="AS559" s="1717"/>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7" t="s">
        <v>2723</v>
      </c>
      <c r="D560" s="1697"/>
      <c r="E560" s="1697"/>
      <c r="F560" s="1697"/>
      <c r="G560" s="1697"/>
      <c r="H560" s="1697"/>
      <c r="I560" s="1697"/>
      <c r="J560" s="1697"/>
      <c r="K560" s="1697"/>
      <c r="L560" s="1697"/>
      <c r="M560" s="1450" t="s">
        <v>2429</v>
      </c>
      <c r="N560" s="1450"/>
      <c r="O560" s="1450"/>
      <c r="P560" s="1450"/>
      <c r="Q560" s="1468"/>
      <c r="R560" s="1469"/>
      <c r="S560" s="1470"/>
      <c r="T560" s="1468"/>
      <c r="U560" s="1469"/>
      <c r="V560" s="1470"/>
      <c r="W560" s="1650"/>
      <c r="X560" s="1651"/>
      <c r="Y560" s="1652"/>
      <c r="Z560" s="1472" t="s">
        <v>1290</v>
      </c>
      <c r="AA560" s="1472"/>
      <c r="AB560" s="1472"/>
      <c r="AC560" s="1472"/>
      <c r="AD560" s="1472"/>
      <c r="AE560" s="1711"/>
      <c r="AF560" s="1712"/>
      <c r="AG560" s="1712"/>
      <c r="AH560" s="1713"/>
      <c r="AI560" s="1755"/>
      <c r="AJ560" s="1756"/>
      <c r="AK560" s="1756"/>
      <c r="AL560" s="1757"/>
      <c r="AM560" s="1715">
        <f>3704702-195000</f>
        <v>3509702</v>
      </c>
      <c r="AN560" s="1716"/>
      <c r="AO560" s="1716"/>
      <c r="AP560" s="1716"/>
      <c r="AQ560" s="1716"/>
      <c r="AR560" s="1716"/>
      <c r="AS560" s="171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7"/>
      <c r="D561" s="1697"/>
      <c r="E561" s="1697"/>
      <c r="F561" s="1697"/>
      <c r="G561" s="1697"/>
      <c r="H561" s="1697"/>
      <c r="I561" s="1697"/>
      <c r="J561" s="1697"/>
      <c r="K561" s="1697"/>
      <c r="L561" s="1697"/>
      <c r="M561" s="1450" t="s">
        <v>2430</v>
      </c>
      <c r="N561" s="1450"/>
      <c r="O561" s="1450"/>
      <c r="P561" s="1450"/>
      <c r="Q561" s="1468"/>
      <c r="R561" s="1469"/>
      <c r="S561" s="1470"/>
      <c r="T561" s="1468"/>
      <c r="U561" s="1469"/>
      <c r="V561" s="1470"/>
      <c r="W561" s="1650"/>
      <c r="X561" s="1651"/>
      <c r="Y561" s="1652"/>
      <c r="Z561" s="1472" t="s">
        <v>1290</v>
      </c>
      <c r="AA561" s="1472"/>
      <c r="AB561" s="1472"/>
      <c r="AC561" s="1472"/>
      <c r="AD561" s="1472"/>
      <c r="AE561" s="1711"/>
      <c r="AF561" s="1712"/>
      <c r="AG561" s="1712"/>
      <c r="AH561" s="1713"/>
      <c r="AI561" s="1755"/>
      <c r="AJ561" s="1756"/>
      <c r="AK561" s="1756"/>
      <c r="AL561" s="1757"/>
      <c r="AM561" s="1715"/>
      <c r="AN561" s="1716"/>
      <c r="AO561" s="1716"/>
      <c r="AP561" s="1716"/>
      <c r="AQ561" s="1716"/>
      <c r="AR561" s="1716"/>
      <c r="AS561" s="171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7"/>
      <c r="D562" s="1697"/>
      <c r="E562" s="1697"/>
      <c r="F562" s="1697"/>
      <c r="G562" s="1697"/>
      <c r="H562" s="1697"/>
      <c r="I562" s="1697"/>
      <c r="J562" s="1697"/>
      <c r="K562" s="1697"/>
      <c r="L562" s="1697"/>
      <c r="M562" s="1450" t="s">
        <v>1290</v>
      </c>
      <c r="N562" s="1450"/>
      <c r="O562" s="1450"/>
      <c r="P562" s="1450"/>
      <c r="Q562" s="1468"/>
      <c r="R562" s="1469"/>
      <c r="S562" s="1470"/>
      <c r="T562" s="1468"/>
      <c r="U562" s="1469"/>
      <c r="V562" s="1470"/>
      <c r="W562" s="1650"/>
      <c r="X562" s="1651"/>
      <c r="Y562" s="1652"/>
      <c r="Z562" s="1472" t="s">
        <v>1290</v>
      </c>
      <c r="AA562" s="1472"/>
      <c r="AB562" s="1472"/>
      <c r="AC562" s="1472"/>
      <c r="AD562" s="1472"/>
      <c r="AE562" s="1711"/>
      <c r="AF562" s="1712"/>
      <c r="AG562" s="1712"/>
      <c r="AH562" s="1713"/>
      <c r="AI562" s="1755"/>
      <c r="AJ562" s="1756"/>
      <c r="AK562" s="1756"/>
      <c r="AL562" s="1757"/>
      <c r="AM562" s="1715"/>
      <c r="AN562" s="1716"/>
      <c r="AO562" s="1716"/>
      <c r="AP562" s="1716"/>
      <c r="AQ562" s="1716"/>
      <c r="AR562" s="1716"/>
      <c r="AS562" s="171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7"/>
      <c r="D563" s="1697"/>
      <c r="E563" s="1697"/>
      <c r="F563" s="1697"/>
      <c r="G563" s="1697"/>
      <c r="H563" s="1697"/>
      <c r="I563" s="1697"/>
      <c r="J563" s="1697"/>
      <c r="K563" s="1697"/>
      <c r="L563" s="1697"/>
      <c r="M563" s="1450" t="s">
        <v>1290</v>
      </c>
      <c r="N563" s="1450"/>
      <c r="O563" s="1450"/>
      <c r="P563" s="1450"/>
      <c r="Q563" s="1468"/>
      <c r="R563" s="1469"/>
      <c r="S563" s="1470"/>
      <c r="T563" s="1468"/>
      <c r="U563" s="1469"/>
      <c r="V563" s="1470"/>
      <c r="W563" s="1650"/>
      <c r="X563" s="1651"/>
      <c r="Y563" s="1652"/>
      <c r="Z563" s="1472" t="s">
        <v>1290</v>
      </c>
      <c r="AA563" s="1472"/>
      <c r="AB563" s="1472"/>
      <c r="AC563" s="1472"/>
      <c r="AD563" s="1472"/>
      <c r="AE563" s="1711"/>
      <c r="AF563" s="1712"/>
      <c r="AG563" s="1712"/>
      <c r="AH563" s="1713"/>
      <c r="AI563" s="1755"/>
      <c r="AJ563" s="1756"/>
      <c r="AK563" s="1756"/>
      <c r="AL563" s="1757"/>
      <c r="AM563" s="1715"/>
      <c r="AN563" s="1716"/>
      <c r="AO563" s="1716"/>
      <c r="AP563" s="1716"/>
      <c r="AQ563" s="1716"/>
      <c r="AR563" s="1716"/>
      <c r="AS563" s="171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97"/>
      <c r="D564" s="1697"/>
      <c r="E564" s="1697"/>
      <c r="F564" s="1697"/>
      <c r="G564" s="1697"/>
      <c r="H564" s="1697"/>
      <c r="I564" s="1697"/>
      <c r="J564" s="1697"/>
      <c r="K564" s="1697"/>
      <c r="L564" s="1697"/>
      <c r="M564" s="1450" t="s">
        <v>1290</v>
      </c>
      <c r="N564" s="1450"/>
      <c r="O564" s="1450"/>
      <c r="P564" s="1450"/>
      <c r="Q564" s="1468"/>
      <c r="R564" s="1469"/>
      <c r="S564" s="1470"/>
      <c r="T564" s="1468"/>
      <c r="U564" s="1469"/>
      <c r="V564" s="1470"/>
      <c r="W564" s="1650"/>
      <c r="X564" s="1651"/>
      <c r="Y564" s="1652"/>
      <c r="Z564" s="1472" t="s">
        <v>1290</v>
      </c>
      <c r="AA564" s="1472"/>
      <c r="AB564" s="1472"/>
      <c r="AC564" s="1472"/>
      <c r="AD564" s="1472"/>
      <c r="AE564" s="1711"/>
      <c r="AF564" s="1712"/>
      <c r="AG564" s="1712"/>
      <c r="AH564" s="1713"/>
      <c r="AI564" s="1755"/>
      <c r="AJ564" s="1756"/>
      <c r="AK564" s="1756"/>
      <c r="AL564" s="1757"/>
      <c r="AM564" s="1715"/>
      <c r="AN564" s="1716"/>
      <c r="AO564" s="1716"/>
      <c r="AP564" s="1716"/>
      <c r="AQ564" s="1716"/>
      <c r="AR564" s="1716"/>
      <c r="AS564" s="171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97"/>
      <c r="D565" s="1697"/>
      <c r="E565" s="1697"/>
      <c r="F565" s="1697"/>
      <c r="G565" s="1697"/>
      <c r="H565" s="1697"/>
      <c r="I565" s="1697"/>
      <c r="J565" s="1697"/>
      <c r="K565" s="1697"/>
      <c r="L565" s="1697"/>
      <c r="M565" s="1450" t="s">
        <v>1290</v>
      </c>
      <c r="N565" s="1450"/>
      <c r="O565" s="1450"/>
      <c r="P565" s="1450"/>
      <c r="Q565" s="1468"/>
      <c r="R565" s="1469"/>
      <c r="S565" s="1470"/>
      <c r="T565" s="1468"/>
      <c r="U565" s="1469"/>
      <c r="V565" s="1470"/>
      <c r="W565" s="1650"/>
      <c r="X565" s="1651"/>
      <c r="Y565" s="1652"/>
      <c r="Z565" s="1472" t="s">
        <v>1290</v>
      </c>
      <c r="AA565" s="1472"/>
      <c r="AB565" s="1472"/>
      <c r="AC565" s="1472"/>
      <c r="AD565" s="1472"/>
      <c r="AE565" s="1711"/>
      <c r="AF565" s="1712"/>
      <c r="AG565" s="1712"/>
      <c r="AH565" s="1713"/>
      <c r="AI565" s="1755"/>
      <c r="AJ565" s="1756"/>
      <c r="AK565" s="1756"/>
      <c r="AL565" s="1757"/>
      <c r="AM565" s="1715"/>
      <c r="AN565" s="1716"/>
      <c r="AO565" s="1716"/>
      <c r="AP565" s="1716"/>
      <c r="AQ565" s="1716"/>
      <c r="AR565" s="1716"/>
      <c r="AS565" s="171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21" t="s">
        <v>127</v>
      </c>
      <c r="C566" s="1622"/>
      <c r="D566" s="1622"/>
      <c r="E566" s="1622"/>
      <c r="F566" s="1622"/>
      <c r="G566" s="1622"/>
      <c r="H566" s="1622"/>
      <c r="I566" s="1622"/>
      <c r="J566" s="1622"/>
      <c r="K566" s="1622"/>
      <c r="L566" s="1622"/>
      <c r="M566" s="1622"/>
      <c r="N566" s="1622"/>
      <c r="O566" s="1622"/>
      <c r="P566" s="1622"/>
      <c r="Q566" s="1622"/>
      <c r="R566" s="1622"/>
      <c r="S566" s="1622"/>
      <c r="T566" s="1622"/>
      <c r="U566" s="1718"/>
      <c r="V566" s="1622"/>
      <c r="W566" s="1622"/>
      <c r="X566" s="1622"/>
      <c r="Y566" s="1622"/>
      <c r="Z566" s="1622"/>
      <c r="AA566" s="1622"/>
      <c r="AB566" s="1622"/>
      <c r="AC566" s="1622"/>
      <c r="AD566" s="1622"/>
      <c r="AE566" s="1622"/>
      <c r="AF566" s="1622"/>
      <c r="AG566" s="1622"/>
      <c r="AH566" s="1622"/>
      <c r="AI566" s="1622"/>
      <c r="AJ566" s="1622"/>
      <c r="AK566" s="1622"/>
      <c r="AL566" s="1623"/>
      <c r="AM566" s="1662">
        <f>SUM(AM554:AS565)</f>
        <v>58392816</v>
      </c>
      <c r="AN566" s="1663"/>
      <c r="AO566" s="1663"/>
      <c r="AP566" s="1663"/>
      <c r="AQ566" s="1663"/>
      <c r="AR566" s="1663"/>
      <c r="AS566" s="166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5" t="str">
        <f>C554</f>
        <v>Citibank Tax-Exempt Construction Loan</v>
      </c>
      <c r="H568" s="1455"/>
      <c r="I568" s="1455"/>
      <c r="J568" s="1455"/>
      <c r="K568" s="1455"/>
      <c r="L568" s="1455"/>
      <c r="M568" s="1455"/>
      <c r="N568" s="1455"/>
      <c r="O568" s="1455"/>
      <c r="P568" s="1455"/>
      <c r="Q568" s="1455"/>
      <c r="R568" s="1455"/>
      <c r="S568" s="8"/>
      <c r="T568" s="55" t="s">
        <v>113</v>
      </c>
      <c r="U568" t="s">
        <v>471</v>
      </c>
      <c r="Z568" s="1455" t="str">
        <f>C555</f>
        <v>HCD Housing Development Fund</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65" t="s">
        <v>2731</v>
      </c>
      <c r="H569" s="1475"/>
      <c r="I569" s="1475"/>
      <c r="J569" s="1475"/>
      <c r="K569" s="1475"/>
      <c r="L569" s="1475"/>
      <c r="M569" s="1475"/>
      <c r="N569" s="1475"/>
      <c r="O569" s="1475"/>
      <c r="P569" s="1475"/>
      <c r="Q569" s="1475"/>
      <c r="R569" s="1475"/>
      <c r="S569" s="8"/>
      <c r="T569" s="22"/>
      <c r="U569" t="s">
        <v>85</v>
      </c>
      <c r="Z569" s="1465" t="s">
        <v>2739</v>
      </c>
      <c r="AA569" s="1475"/>
      <c r="AB569" s="1475"/>
      <c r="AC569" s="1475"/>
      <c r="AD569" s="1475"/>
      <c r="AE569" s="1475"/>
      <c r="AF569" s="1475"/>
      <c r="AG569" s="1475"/>
      <c r="AH569" s="1475"/>
      <c r="AI569" s="1475"/>
      <c r="AJ569" s="1475"/>
      <c r="AK569" s="147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65" t="s">
        <v>2732</v>
      </c>
      <c r="H570" s="1475"/>
      <c r="I570" s="1475"/>
      <c r="J570" s="1475"/>
      <c r="K570" s="1475"/>
      <c r="L570" s="1475"/>
      <c r="M570" s="1475"/>
      <c r="N570" s="1475"/>
      <c r="O570" s="1475"/>
      <c r="P570" s="1475"/>
      <c r="Q570" s="1475"/>
      <c r="R570" s="1475"/>
      <c r="T570" s="22"/>
      <c r="U570" t="s">
        <v>588</v>
      </c>
      <c r="Z570" s="1698" t="s">
        <v>2740</v>
      </c>
      <c r="AA570" s="1471"/>
      <c r="AB570" s="1471"/>
      <c r="AC570" s="1471"/>
      <c r="AD570" s="1471"/>
      <c r="AE570" s="1471"/>
      <c r="AF570" s="1471"/>
      <c r="AG570" s="1471"/>
      <c r="AH570" s="1471"/>
      <c r="AI570" s="1471"/>
      <c r="AJ570" s="1471"/>
      <c r="AK570" s="147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65" t="s">
        <v>2734</v>
      </c>
      <c r="H571" s="1475"/>
      <c r="I571" s="1475"/>
      <c r="J571" s="1475"/>
      <c r="K571" s="1475"/>
      <c r="L571" s="1475"/>
      <c r="M571" s="1475"/>
      <c r="N571" s="1475"/>
      <c r="O571" s="1475"/>
      <c r="P571" s="1475"/>
      <c r="Q571" s="1475"/>
      <c r="R571" s="1475"/>
      <c r="S571" s="8"/>
      <c r="T571" s="22"/>
      <c r="U571" t="s">
        <v>17</v>
      </c>
      <c r="Z571" s="1698" t="s">
        <v>2741</v>
      </c>
      <c r="AA571" s="1471"/>
      <c r="AB571" s="1471"/>
      <c r="AC571" s="1471"/>
      <c r="AD571" s="1471"/>
      <c r="AE571" s="1471"/>
      <c r="AF571" s="1471"/>
      <c r="AG571" s="1471"/>
      <c r="AH571" s="1471"/>
      <c r="AI571" s="1471"/>
      <c r="AJ571" s="1471"/>
      <c r="AK571" s="147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473" t="s">
        <v>2733</v>
      </c>
      <c r="H572" s="1474"/>
      <c r="I572" s="1474"/>
      <c r="J572" s="1474"/>
      <c r="K572" s="1474"/>
      <c r="L572" s="1474"/>
      <c r="O572" s="33" t="s">
        <v>206</v>
      </c>
      <c r="P572" s="1476"/>
      <c r="Q572" s="1476"/>
      <c r="R572" s="1476"/>
      <c r="S572" s="10"/>
      <c r="T572" s="22"/>
      <c r="U572" t="s">
        <v>316</v>
      </c>
      <c r="Z572" s="1473" t="s">
        <v>2742</v>
      </c>
      <c r="AA572" s="1474"/>
      <c r="AB572" s="1474"/>
      <c r="AC572" s="1474"/>
      <c r="AD572" s="1474"/>
      <c r="AE572" s="1474"/>
      <c r="AH572" s="33" t="s">
        <v>206</v>
      </c>
      <c r="AI572" s="1476"/>
      <c r="AJ572" s="1476"/>
      <c r="AK572" s="147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65" t="s">
        <v>2737</v>
      </c>
      <c r="I573" s="1475"/>
      <c r="J573" s="1475"/>
      <c r="K573" s="1475"/>
      <c r="L573" s="1475"/>
      <c r="M573" s="1475"/>
      <c r="N573" s="1475"/>
      <c r="O573" s="1475"/>
      <c r="P573" s="1475"/>
      <c r="Q573" s="1475"/>
      <c r="R573" s="1475"/>
      <c r="S573" s="8"/>
      <c r="T573" s="22"/>
      <c r="U573" t="s">
        <v>18</v>
      </c>
      <c r="AA573" s="1465" t="s">
        <v>2736</v>
      </c>
      <c r="AB573" s="1475"/>
      <c r="AC573" s="1475"/>
      <c r="AD573" s="1475"/>
      <c r="AE573" s="1475"/>
      <c r="AF573" s="1475"/>
      <c r="AG573" s="1475"/>
      <c r="AH573" s="1475"/>
      <c r="AI573" s="1475"/>
      <c r="AJ573" s="1475"/>
      <c r="AK573" s="147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78" t="s">
        <v>2738</v>
      </c>
      <c r="N574" s="1740"/>
      <c r="O574" s="1740"/>
      <c r="P574" s="1740"/>
      <c r="Q574" s="1740"/>
      <c r="R574" s="1740"/>
      <c r="S574" s="8"/>
      <c r="T574" s="22"/>
      <c r="U574" s="348" t="s">
        <v>1291</v>
      </c>
      <c r="AA574" s="8"/>
      <c r="AB574" s="8"/>
      <c r="AC574" s="8"/>
      <c r="AD574" s="8"/>
      <c r="AE574" s="8"/>
      <c r="AF574" s="1740"/>
      <c r="AG574" s="1740"/>
      <c r="AH574" s="1740"/>
      <c r="AI574" s="1740"/>
      <c r="AJ574" s="1740"/>
      <c r="AK574" s="174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67" t="s">
        <v>553</v>
      </c>
      <c r="O575" s="1467"/>
      <c r="T575" s="22"/>
      <c r="U575" t="s">
        <v>20</v>
      </c>
      <c r="AG575" s="1467" t="s">
        <v>553</v>
      </c>
      <c r="AH575" s="14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5" t="str">
        <f>C556</f>
        <v>Citibank Taxable Construction Loan</v>
      </c>
      <c r="H577" s="1455"/>
      <c r="I577" s="1455"/>
      <c r="J577" s="1455"/>
      <c r="K577" s="1455"/>
      <c r="L577" s="1455"/>
      <c r="M577" s="1455"/>
      <c r="N577" s="1455"/>
      <c r="O577" s="1455"/>
      <c r="P577" s="1455"/>
      <c r="Q577" s="1455"/>
      <c r="R577" s="1455"/>
      <c r="T577" s="55" t="s">
        <v>589</v>
      </c>
      <c r="U577" t="s">
        <v>471</v>
      </c>
      <c r="Z577" s="1455" t="str">
        <f>C557</f>
        <v>CMFA Recycled Bonds</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75" t="str">
        <f>G569</f>
        <v>300 South Grand Avenue, Suite 3110</v>
      </c>
      <c r="H578" s="1475"/>
      <c r="I578" s="1475"/>
      <c r="J578" s="1475"/>
      <c r="K578" s="1475"/>
      <c r="L578" s="1475"/>
      <c r="M578" s="1475"/>
      <c r="N578" s="1475"/>
      <c r="O578" s="1475"/>
      <c r="P578" s="1475"/>
      <c r="Q578" s="1475"/>
      <c r="R578" s="1475"/>
      <c r="T578" s="22"/>
      <c r="U578" t="s">
        <v>85</v>
      </c>
      <c r="Z578" s="1475" t="str">
        <f>G578</f>
        <v>300 South Grand Avenue, Suite 3110</v>
      </c>
      <c r="AA578" s="1475"/>
      <c r="AB578" s="1475"/>
      <c r="AC578" s="1475"/>
      <c r="AD578" s="1475"/>
      <c r="AE578" s="1475"/>
      <c r="AF578" s="1475"/>
      <c r="AG578" s="1475"/>
      <c r="AH578" s="1475"/>
      <c r="AI578" s="1475"/>
      <c r="AJ578" s="1475"/>
      <c r="AK578" s="147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71" t="str">
        <f>G570</f>
        <v>Los Angeles, CA 90071</v>
      </c>
      <c r="H579" s="1471"/>
      <c r="I579" s="1471"/>
      <c r="J579" s="1471"/>
      <c r="K579" s="1471"/>
      <c r="L579" s="1471"/>
      <c r="M579" s="1471"/>
      <c r="N579" s="1471"/>
      <c r="O579" s="1471"/>
      <c r="P579" s="1471"/>
      <c r="Q579" s="1471"/>
      <c r="R579" s="1471"/>
      <c r="T579" s="22"/>
      <c r="U579" t="s">
        <v>588</v>
      </c>
      <c r="Z579" s="1471" t="str">
        <f>G579</f>
        <v>Los Angeles, CA 90071</v>
      </c>
      <c r="AA579" s="1471"/>
      <c r="AB579" s="1471"/>
      <c r="AC579" s="1471"/>
      <c r="AD579" s="1471"/>
      <c r="AE579" s="1471"/>
      <c r="AF579" s="1471"/>
      <c r="AG579" s="1471"/>
      <c r="AH579" s="1471"/>
      <c r="AI579" s="1471"/>
      <c r="AJ579" s="1471"/>
      <c r="AK579" s="147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71" t="str">
        <f>G571</f>
        <v>Hao Li</v>
      </c>
      <c r="H580" s="1471"/>
      <c r="I580" s="1471"/>
      <c r="J580" s="1471"/>
      <c r="K580" s="1471"/>
      <c r="L580" s="1471"/>
      <c r="M580" s="1471"/>
      <c r="N580" s="1471"/>
      <c r="O580" s="1471"/>
      <c r="P580" s="1471"/>
      <c r="Q580" s="1471"/>
      <c r="R580" s="1471"/>
      <c r="T580" s="22"/>
      <c r="U580" t="s">
        <v>17</v>
      </c>
      <c r="Z580" s="1471" t="str">
        <f>G580</f>
        <v>Hao Li</v>
      </c>
      <c r="AA580" s="1471"/>
      <c r="AB580" s="1471"/>
      <c r="AC580" s="1471"/>
      <c r="AD580" s="1471"/>
      <c r="AE580" s="1471"/>
      <c r="AF580" s="1471"/>
      <c r="AG580" s="1471"/>
      <c r="AH580" s="1471"/>
      <c r="AI580" s="1471"/>
      <c r="AJ580" s="1471"/>
      <c r="AK580" s="147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474" t="str">
        <f>G572</f>
        <v>(213) 239-1914</v>
      </c>
      <c r="H581" s="1474"/>
      <c r="I581" s="1474"/>
      <c r="J581" s="1474"/>
      <c r="K581" s="1474"/>
      <c r="L581" s="1474"/>
      <c r="O581" s="33" t="s">
        <v>206</v>
      </c>
      <c r="P581" s="1476"/>
      <c r="Q581" s="1476"/>
      <c r="R581" s="1476"/>
      <c r="T581" s="22"/>
      <c r="U581" t="s">
        <v>316</v>
      </c>
      <c r="Z581" s="1474" t="str">
        <f>G581</f>
        <v>(213) 239-1914</v>
      </c>
      <c r="AA581" s="1474"/>
      <c r="AB581" s="1474"/>
      <c r="AC581" s="1474"/>
      <c r="AD581" s="1474"/>
      <c r="AE581" s="1474"/>
      <c r="AH581" s="33" t="s">
        <v>206</v>
      </c>
      <c r="AI581" s="1476"/>
      <c r="AJ581" s="1476"/>
      <c r="AK581" s="14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65" t="s">
        <v>2735</v>
      </c>
      <c r="I582" s="1475"/>
      <c r="J582" s="1475"/>
      <c r="K582" s="1475"/>
      <c r="L582" s="1475"/>
      <c r="M582" s="1475"/>
      <c r="N582" s="1475"/>
      <c r="O582" s="1475"/>
      <c r="P582" s="1475"/>
      <c r="Q582" s="1475"/>
      <c r="R582" s="1475"/>
      <c r="T582" s="22"/>
      <c r="U582" t="s">
        <v>18</v>
      </c>
      <c r="AA582" s="1475" t="str">
        <f>H582</f>
        <v>construction</v>
      </c>
      <c r="AB582" s="1475"/>
      <c r="AC582" s="1475"/>
      <c r="AD582" s="1475"/>
      <c r="AE582" s="1475"/>
      <c r="AF582" s="1475"/>
      <c r="AG582" s="1475"/>
      <c r="AH582" s="1475"/>
      <c r="AI582" s="1475"/>
      <c r="AJ582" s="1475"/>
      <c r="AK582" s="147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67" t="s">
        <v>553</v>
      </c>
      <c r="O583" s="1467"/>
      <c r="T583" s="22"/>
      <c r="U583" t="s">
        <v>20</v>
      </c>
      <c r="AG583" s="1467" t="s">
        <v>553</v>
      </c>
      <c r="AH583" s="14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5" t="str">
        <f>C558</f>
        <v>Costs Deferred Until Conversion</v>
      </c>
      <c r="H585" s="1455"/>
      <c r="I585" s="1455"/>
      <c r="J585" s="1455"/>
      <c r="K585" s="1455"/>
      <c r="L585" s="1455"/>
      <c r="M585" s="1455"/>
      <c r="N585" s="1455"/>
      <c r="O585" s="1455"/>
      <c r="P585" s="1455"/>
      <c r="Q585" s="1455"/>
      <c r="R585" s="1455"/>
      <c r="T585" s="55" t="s">
        <v>592</v>
      </c>
      <c r="U585" t="s">
        <v>471</v>
      </c>
      <c r="Z585" s="1455" t="str">
        <f>C559</f>
        <v>Deferred Developer Fee</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75"/>
      <c r="H586" s="1475"/>
      <c r="I586" s="1475"/>
      <c r="J586" s="1475"/>
      <c r="K586" s="1475"/>
      <c r="L586" s="1475"/>
      <c r="M586" s="1475"/>
      <c r="N586" s="1475"/>
      <c r="O586" s="1475"/>
      <c r="P586" s="1475"/>
      <c r="Q586" s="1475"/>
      <c r="R586" s="1475"/>
      <c r="T586" s="22"/>
      <c r="U586" t="s">
        <v>85</v>
      </c>
      <c r="Z586" s="1475"/>
      <c r="AA586" s="1475"/>
      <c r="AB586" s="1475"/>
      <c r="AC586" s="1475"/>
      <c r="AD586" s="1475"/>
      <c r="AE586" s="1475"/>
      <c r="AF586" s="1475"/>
      <c r="AG586" s="1475"/>
      <c r="AH586" s="1475"/>
      <c r="AI586" s="1475"/>
      <c r="AJ586" s="1475"/>
      <c r="AK586" s="147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75"/>
      <c r="H587" s="1475"/>
      <c r="I587" s="1475"/>
      <c r="J587" s="1475"/>
      <c r="K587" s="1475"/>
      <c r="L587" s="1475"/>
      <c r="M587" s="1475"/>
      <c r="N587" s="1475"/>
      <c r="O587" s="1475"/>
      <c r="P587" s="1475"/>
      <c r="Q587" s="1475"/>
      <c r="R587" s="1475"/>
      <c r="T587" s="22"/>
      <c r="U587" t="s">
        <v>588</v>
      </c>
      <c r="Z587" s="1471"/>
      <c r="AA587" s="1471"/>
      <c r="AB587" s="1471"/>
      <c r="AC587" s="1471"/>
      <c r="AD587" s="1471"/>
      <c r="AE587" s="1471"/>
      <c r="AF587" s="1471"/>
      <c r="AG587" s="1471"/>
      <c r="AH587" s="1471"/>
      <c r="AI587" s="1471"/>
      <c r="AJ587" s="1471"/>
      <c r="AK587" s="147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75"/>
      <c r="H588" s="1475"/>
      <c r="I588" s="1475"/>
      <c r="J588" s="1475"/>
      <c r="K588" s="1475"/>
      <c r="L588" s="1475"/>
      <c r="M588" s="1475"/>
      <c r="N588" s="1475"/>
      <c r="O588" s="1475"/>
      <c r="P588" s="1475"/>
      <c r="Q588" s="1475"/>
      <c r="R588" s="1475"/>
      <c r="T588" s="22"/>
      <c r="U588" t="s">
        <v>17</v>
      </c>
      <c r="Z588" s="1471"/>
      <c r="AA588" s="1471"/>
      <c r="AB588" s="1471"/>
      <c r="AC588" s="1471"/>
      <c r="AD588" s="1471"/>
      <c r="AE588" s="1471"/>
      <c r="AF588" s="1471"/>
      <c r="AG588" s="1471"/>
      <c r="AH588" s="1471"/>
      <c r="AI588" s="1471"/>
      <c r="AJ588" s="1471"/>
      <c r="AK588" s="1471"/>
    </row>
    <row r="589" spans="1:110" ht="13" customHeight="1">
      <c r="A589" s="22"/>
      <c r="B589" t="s">
        <v>316</v>
      </c>
      <c r="G589" s="1474"/>
      <c r="H589" s="1474"/>
      <c r="I589" s="1474"/>
      <c r="J589" s="1474"/>
      <c r="K589" s="1474"/>
      <c r="L589" s="1474"/>
      <c r="O589" s="33" t="s">
        <v>206</v>
      </c>
      <c r="P589" s="1476"/>
      <c r="Q589" s="1476"/>
      <c r="R589" s="1476"/>
      <c r="T589" s="22"/>
      <c r="U589" t="s">
        <v>316</v>
      </c>
      <c r="Z589" s="1474"/>
      <c r="AA589" s="1474"/>
      <c r="AB589" s="1474"/>
      <c r="AC589" s="1474"/>
      <c r="AD589" s="1474"/>
      <c r="AE589" s="1474"/>
      <c r="AH589" s="33" t="s">
        <v>206</v>
      </c>
      <c r="AI589" s="1476"/>
      <c r="AJ589" s="1476"/>
      <c r="AK589" s="147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75"/>
      <c r="I590" s="1475"/>
      <c r="J590" s="1475"/>
      <c r="K590" s="1475"/>
      <c r="L590" s="1475"/>
      <c r="M590" s="1475"/>
      <c r="N590" s="1475"/>
      <c r="O590" s="1475"/>
      <c r="P590" s="1475"/>
      <c r="Q590" s="1475"/>
      <c r="R590" s="1475"/>
      <c r="T590" s="22"/>
      <c r="U590" t="s">
        <v>18</v>
      </c>
      <c r="AA590" s="1475"/>
      <c r="AB590" s="1475"/>
      <c r="AC590" s="1475"/>
      <c r="AD590" s="1475"/>
      <c r="AE590" s="1475"/>
      <c r="AF590" s="1475"/>
      <c r="AG590" s="1475"/>
      <c r="AH590" s="1475"/>
      <c r="AI590" s="1475"/>
      <c r="AJ590" s="1475"/>
      <c r="AK590" s="147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67" t="s">
        <v>553</v>
      </c>
      <c r="O591" s="1467"/>
      <c r="T591" s="22"/>
      <c r="U591" t="s">
        <v>20</v>
      </c>
      <c r="AG591" s="1467" t="s">
        <v>553</v>
      </c>
      <c r="AH591" s="14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5" t="str">
        <f>C560</f>
        <v>LP Equity</v>
      </c>
      <c r="H593" s="1455"/>
      <c r="I593" s="1455"/>
      <c r="J593" s="1455"/>
      <c r="K593" s="1455"/>
      <c r="L593" s="1455"/>
      <c r="M593" s="1455"/>
      <c r="N593" s="1455"/>
      <c r="O593" s="1455"/>
      <c r="P593" s="1455"/>
      <c r="Q593" s="1455"/>
      <c r="R593" s="1455"/>
      <c r="T593" s="55" t="s">
        <v>464</v>
      </c>
      <c r="U593" t="s">
        <v>471</v>
      </c>
      <c r="Z593" s="1455">
        <f>C561</f>
        <v>0</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75"/>
      <c r="H594" s="1475"/>
      <c r="I594" s="1475"/>
      <c r="J594" s="1475"/>
      <c r="K594" s="1475"/>
      <c r="L594" s="1475"/>
      <c r="M594" s="1475"/>
      <c r="N594" s="1475"/>
      <c r="O594" s="1475"/>
      <c r="P594" s="1475"/>
      <c r="Q594" s="1475"/>
      <c r="R594" s="1475"/>
      <c r="S594"/>
      <c r="T594" s="22"/>
      <c r="U594" t="s">
        <v>85</v>
      </c>
      <c r="V594"/>
      <c r="W594"/>
      <c r="X594"/>
      <c r="Y594"/>
      <c r="Z594" s="1475"/>
      <c r="AA594" s="1475"/>
      <c r="AB594" s="1475"/>
      <c r="AC594" s="1475"/>
      <c r="AD594" s="1475"/>
      <c r="AE594" s="1475"/>
      <c r="AF594" s="1475"/>
      <c r="AG594" s="1475"/>
      <c r="AH594" s="1475"/>
      <c r="AI594" s="1475"/>
      <c r="AJ594" s="1475"/>
      <c r="AK594" s="147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75"/>
      <c r="H595" s="1475"/>
      <c r="I595" s="1475"/>
      <c r="J595" s="1475"/>
      <c r="K595" s="1475"/>
      <c r="L595" s="1475"/>
      <c r="M595" s="1475"/>
      <c r="N595" s="1475"/>
      <c r="O595" s="1475"/>
      <c r="P595" s="1475"/>
      <c r="Q595" s="1475"/>
      <c r="R595" s="1475"/>
      <c r="S595"/>
      <c r="T595" s="22"/>
      <c r="U595" t="s">
        <v>588</v>
      </c>
      <c r="V595"/>
      <c r="W595"/>
      <c r="X595"/>
      <c r="Y595"/>
      <c r="Z595" s="1471"/>
      <c r="AA595" s="1471"/>
      <c r="AB595" s="1471"/>
      <c r="AC595" s="1471"/>
      <c r="AD595" s="1471"/>
      <c r="AE595" s="1471"/>
      <c r="AF595" s="1471"/>
      <c r="AG595" s="1471"/>
      <c r="AH595" s="1471"/>
      <c r="AI595" s="1471"/>
      <c r="AJ595" s="1471"/>
      <c r="AK595" s="147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75"/>
      <c r="H596" s="1475"/>
      <c r="I596" s="1475"/>
      <c r="J596" s="1475"/>
      <c r="K596" s="1475"/>
      <c r="L596" s="1475"/>
      <c r="M596" s="1475"/>
      <c r="N596" s="1475"/>
      <c r="O596" s="1475"/>
      <c r="P596" s="1475"/>
      <c r="Q596" s="1475"/>
      <c r="R596" s="1475"/>
      <c r="S596"/>
      <c r="T596" s="22"/>
      <c r="U596" t="s">
        <v>17</v>
      </c>
      <c r="V596"/>
      <c r="W596"/>
      <c r="X596"/>
      <c r="Y596"/>
      <c r="Z596" s="1471"/>
      <c r="AA596" s="1471"/>
      <c r="AB596" s="1471"/>
      <c r="AC596" s="1471"/>
      <c r="AD596" s="1471"/>
      <c r="AE596" s="1471"/>
      <c r="AF596" s="1471"/>
      <c r="AG596" s="1471"/>
      <c r="AH596" s="1471"/>
      <c r="AI596" s="1471"/>
      <c r="AJ596" s="1471"/>
      <c r="AK596" s="1471"/>
      <c r="AL596"/>
      <c r="AM596"/>
      <c r="AN596"/>
      <c r="AO596"/>
      <c r="AP596"/>
      <c r="AQ596"/>
      <c r="AR596"/>
      <c r="AS596"/>
      <c r="AT596"/>
      <c r="AU596"/>
      <c r="AV596"/>
      <c r="AW596"/>
      <c r="AX596"/>
      <c r="AY596"/>
      <c r="BA596" s="4" t="s">
        <v>324</v>
      </c>
      <c r="BB596" s="3"/>
      <c r="BC596" s="3"/>
      <c r="BD596" s="3"/>
      <c r="BE596" s="121" t="s">
        <v>482</v>
      </c>
      <c r="BF596" s="122"/>
      <c r="BG596" s="1531"/>
      <c r="BH596" s="1532"/>
      <c r="BI596" s="121" t="s">
        <v>483</v>
      </c>
      <c r="BJ596" s="122"/>
      <c r="BK596" s="1531"/>
      <c r="BL596" s="1532"/>
      <c r="BM596" s="3"/>
      <c r="BN596" s="1402" t="s">
        <v>641</v>
      </c>
      <c r="BO596" s="1403"/>
      <c r="BP596" s="1403"/>
      <c r="BQ596" s="1403"/>
      <c r="BR596" s="1404"/>
      <c r="BS596" s="1533" t="s">
        <v>325</v>
      </c>
      <c r="BT596" s="1533"/>
      <c r="BU596" s="1533"/>
      <c r="BV596" s="1533"/>
      <c r="BW596" s="1533"/>
      <c r="BX596" s="1533" t="s">
        <v>163</v>
      </c>
      <c r="BY596" s="1533"/>
      <c r="BZ596" s="1533"/>
      <c r="CA596" s="1533"/>
      <c r="CB596" s="1533"/>
      <c r="CC596" s="1533" t="s">
        <v>164</v>
      </c>
      <c r="CD596" s="1533"/>
      <c r="CE596" s="1533"/>
      <c r="CF596" s="1533"/>
      <c r="CG596" s="1533"/>
      <c r="CH596" s="1533" t="s">
        <v>468</v>
      </c>
      <c r="CI596" s="1533"/>
      <c r="CJ596" s="1533"/>
      <c r="CK596" s="1533"/>
      <c r="CL596" s="1533"/>
      <c r="CM596" s="1533" t="s">
        <v>30</v>
      </c>
      <c r="CN596" s="1533"/>
      <c r="CO596" s="1533"/>
      <c r="CP596" s="1533"/>
      <c r="CQ596" s="1533"/>
      <c r="CR596" s="89"/>
      <c r="CS596" s="1533" t="s">
        <v>641</v>
      </c>
      <c r="CT596" s="1533"/>
      <c r="CU596" s="1533"/>
      <c r="CV596" s="1533"/>
      <c r="CW596" s="1533"/>
      <c r="CX596" s="1533" t="s">
        <v>325</v>
      </c>
      <c r="CY596" s="1533"/>
      <c r="CZ596" s="1533"/>
      <c r="DA596" s="1533"/>
      <c r="DB596" s="1533"/>
      <c r="DC596" s="1533" t="s">
        <v>163</v>
      </c>
      <c r="DD596" s="1533"/>
      <c r="DE596" s="1533"/>
      <c r="DF596" s="1533"/>
      <c r="DG596" s="1533"/>
      <c r="DH596" s="1533" t="s">
        <v>164</v>
      </c>
      <c r="DI596" s="1533"/>
      <c r="DJ596" s="1533"/>
      <c r="DK596" s="1533"/>
      <c r="DL596" s="1533"/>
      <c r="DM596" s="1533" t="s">
        <v>468</v>
      </c>
      <c r="DN596" s="1533"/>
      <c r="DO596" s="1533"/>
      <c r="DP596" s="1533"/>
      <c r="DQ596" s="1533"/>
      <c r="DR596" s="1533" t="s">
        <v>30</v>
      </c>
      <c r="DS596" s="1533"/>
      <c r="DT596" s="1533"/>
      <c r="DU596" s="1533"/>
      <c r="DV596" s="1533"/>
      <c r="DX596" s="1533" t="s">
        <v>641</v>
      </c>
      <c r="DY596" s="1533"/>
      <c r="DZ596" s="1533"/>
      <c r="EA596" s="1533"/>
      <c r="EB596" s="1533"/>
      <c r="EC596" s="1533" t="s">
        <v>325</v>
      </c>
      <c r="ED596" s="1533"/>
      <c r="EE596" s="1533"/>
      <c r="EF596" s="1533"/>
      <c r="EG596" s="1533"/>
      <c r="EH596" s="1533" t="s">
        <v>163</v>
      </c>
      <c r="EI596" s="1533"/>
      <c r="EJ596" s="1533"/>
      <c r="EK596" s="1533"/>
      <c r="EL596" s="1533"/>
      <c r="EM596" s="1533" t="s">
        <v>164</v>
      </c>
      <c r="EN596" s="1533"/>
      <c r="EO596" s="1533"/>
      <c r="EP596" s="1533"/>
      <c r="EQ596" s="1533"/>
      <c r="ER596" s="1533" t="s">
        <v>468</v>
      </c>
      <c r="ES596" s="1533"/>
      <c r="ET596" s="1533"/>
      <c r="EU596" s="1533"/>
      <c r="EV596" s="1533"/>
      <c r="EW596" s="1533" t="s">
        <v>30</v>
      </c>
      <c r="EX596" s="1533"/>
      <c r="EY596" s="1533"/>
      <c r="EZ596" s="1533"/>
      <c r="FA596" s="1533"/>
    </row>
    <row r="597" spans="1:157" s="4" customFormat="1" ht="13" customHeight="1">
      <c r="A597" s="22"/>
      <c r="B597" t="s">
        <v>316</v>
      </c>
      <c r="C597"/>
      <c r="D597"/>
      <c r="E597"/>
      <c r="F597"/>
      <c r="G597" s="1474"/>
      <c r="H597" s="1474"/>
      <c r="I597" s="1474"/>
      <c r="J597" s="1474"/>
      <c r="K597" s="1474"/>
      <c r="L597" s="1474"/>
      <c r="M597"/>
      <c r="N597"/>
      <c r="O597" s="33" t="s">
        <v>206</v>
      </c>
      <c r="P597" s="1476"/>
      <c r="Q597" s="1476"/>
      <c r="R597" s="1476"/>
      <c r="S597"/>
      <c r="T597" s="22"/>
      <c r="U597" t="s">
        <v>316</v>
      </c>
      <c r="V597"/>
      <c r="W597"/>
      <c r="X597"/>
      <c r="Y597"/>
      <c r="Z597" s="1474"/>
      <c r="AA597" s="1474"/>
      <c r="AB597" s="1474"/>
      <c r="AC597" s="1474"/>
      <c r="AD597" s="1474"/>
      <c r="AE597" s="1474"/>
      <c r="AF597"/>
      <c r="AG597"/>
      <c r="AH597" s="33" t="s">
        <v>206</v>
      </c>
      <c r="AI597" s="1476"/>
      <c r="AJ597" s="1476"/>
      <c r="AK597" s="1476"/>
      <c r="AL597"/>
      <c r="AM597"/>
      <c r="AN597"/>
      <c r="AO597"/>
      <c r="AP597"/>
      <c r="AQ597"/>
      <c r="AR597"/>
      <c r="AS597"/>
      <c r="AT597"/>
      <c r="AU597"/>
      <c r="AV597"/>
      <c r="AW597"/>
      <c r="AX597"/>
      <c r="AY597"/>
      <c r="BA597" s="4" t="s">
        <v>325</v>
      </c>
      <c r="BB597" s="3"/>
      <c r="BC597" s="3"/>
      <c r="BD597" s="3"/>
      <c r="BE597" s="1523">
        <f t="shared" ref="BE597:BE631" si="1">IF(AND(AC718&lt;=0.5,AC718&gt;=0.36),1,0)</f>
        <v>0</v>
      </c>
      <c r="BF597" s="1525"/>
      <c r="BG597" s="1531">
        <f t="shared" ref="BG597:BG631" si="2">IF(BE597=1,G718,0)</f>
        <v>0</v>
      </c>
      <c r="BH597" s="1532"/>
      <c r="BI597" s="1523">
        <f t="shared" ref="BI597:BI631" si="3">IF(AND(AC718&lt;=0.35,AC718&gt;0),1,0)</f>
        <v>1</v>
      </c>
      <c r="BJ597" s="1525"/>
      <c r="BK597" s="1531">
        <f t="shared" ref="BK597:BK631" si="4">IF(BI597=1,G718,0)</f>
        <v>5</v>
      </c>
      <c r="BL597" s="1532"/>
      <c r="BM597" s="3"/>
      <c r="BN597" s="1517">
        <f t="shared" ref="BN597:BN631" si="5">IF(B718="SRO/Studio",G718,0)</f>
        <v>0</v>
      </c>
      <c r="BO597" s="1518"/>
      <c r="BP597" s="1518"/>
      <c r="BQ597" s="1518"/>
      <c r="BR597" s="1519"/>
      <c r="BS597" s="1526">
        <f t="shared" ref="BS597:BS631" si="6">IF(B718="1 Bedroom",G718,0)</f>
        <v>5</v>
      </c>
      <c r="BT597" s="1526"/>
      <c r="BU597" s="1526"/>
      <c r="BV597" s="1526"/>
      <c r="BW597" s="1526"/>
      <c r="BX597" s="1526">
        <f t="shared" ref="BX597:BX631" si="7">IF(B718="2 Bedrooms",G718,0)</f>
        <v>0</v>
      </c>
      <c r="BY597" s="1526"/>
      <c r="BZ597" s="1526"/>
      <c r="CA597" s="1526"/>
      <c r="CB597" s="1526"/>
      <c r="CC597" s="1526">
        <f t="shared" ref="CC597:CC631" si="8">IF(B718="3 Bedrooms",G718,0)</f>
        <v>0</v>
      </c>
      <c r="CD597" s="1526"/>
      <c r="CE597" s="1526"/>
      <c r="CF597" s="1526"/>
      <c r="CG597" s="1526"/>
      <c r="CH597" s="1526">
        <f t="shared" ref="CH597:CH631" si="9">IF(B718="4 Bedrooms",G718,0)</f>
        <v>0</v>
      </c>
      <c r="CI597" s="1526"/>
      <c r="CJ597" s="1526"/>
      <c r="CK597" s="1526"/>
      <c r="CL597" s="1526"/>
      <c r="CM597" s="1526">
        <f t="shared" ref="CM597:CM631" si="10">IF(B718="5 Bedrooms",G718,0)</f>
        <v>0</v>
      </c>
      <c r="CN597" s="1526"/>
      <c r="CO597" s="1526"/>
      <c r="CP597" s="1526"/>
      <c r="CQ597" s="1526"/>
      <c r="CR597" s="6"/>
      <c r="CS597" s="1528">
        <f t="shared" ref="CS597:CS631" si="11">IF(AND(B718="SRO/Studio",AC718&lt;=0.3),G718,0)</f>
        <v>0</v>
      </c>
      <c r="CT597" s="1528"/>
      <c r="CU597" s="1528"/>
      <c r="CV597" s="1528"/>
      <c r="CW597" s="1528"/>
      <c r="CX597" s="1528">
        <f t="shared" ref="CX597:CX631" si="12">IF(AND(B718="1 Bedroom",AC718&lt;=0.3),G718,0)</f>
        <v>5</v>
      </c>
      <c r="CY597" s="1528"/>
      <c r="CZ597" s="1528"/>
      <c r="DA597" s="1528"/>
      <c r="DB597" s="1528"/>
      <c r="DC597" s="1528">
        <f t="shared" ref="DC597:DC631" si="13">IF(AND(B718="2 Bedrooms",AC718&lt;=0.3),G718,0)</f>
        <v>0</v>
      </c>
      <c r="DD597" s="1528"/>
      <c r="DE597" s="1528"/>
      <c r="DF597" s="1528"/>
      <c r="DG597" s="1528"/>
      <c r="DH597" s="1528">
        <f t="shared" ref="DH597:DH631" si="14">IF(AND(B718="3 Bedrooms",AC718&lt;=0.3),G718,0)</f>
        <v>0</v>
      </c>
      <c r="DI597" s="1528"/>
      <c r="DJ597" s="1528"/>
      <c r="DK597" s="1528"/>
      <c r="DL597" s="1528"/>
      <c r="DM597" s="1528">
        <f t="shared" ref="DM597:DM631" si="15">IF(AND(B718="4 Bedrooms",AC718&lt;=0.3),G718,0)</f>
        <v>0</v>
      </c>
      <c r="DN597" s="1528"/>
      <c r="DO597" s="1528"/>
      <c r="DP597" s="1528"/>
      <c r="DQ597" s="1528"/>
      <c r="DR597" s="1528">
        <f t="shared" ref="DR597:DR631" si="16">IF(AND(B718="5 Bedrooms",AC718&lt;=0.3),G718,0)</f>
        <v>0</v>
      </c>
      <c r="DS597" s="1528"/>
      <c r="DT597" s="1528"/>
      <c r="DU597" s="1528"/>
      <c r="DV597" s="1528"/>
      <c r="DX597" s="1523" t="str">
        <f t="shared" ref="DX597:DX631" si="17">IF(BN597&gt;0,O718,"")</f>
        <v/>
      </c>
      <c r="DY597" s="1524"/>
      <c r="DZ597" s="1524"/>
      <c r="EA597" s="1524"/>
      <c r="EB597" s="1525"/>
      <c r="EC597" s="1523">
        <f t="shared" ref="EC597:EC631" si="18">IF(BS597&gt;0,O718,"")</f>
        <v>665</v>
      </c>
      <c r="ED597" s="1524"/>
      <c r="EE597" s="1524"/>
      <c r="EF597" s="1524"/>
      <c r="EG597" s="1525"/>
      <c r="EH597" s="1523" t="str">
        <f t="shared" ref="EH597:EH631" si="19">IF(BX597&gt;0,O718,"")</f>
        <v/>
      </c>
      <c r="EI597" s="1524"/>
      <c r="EJ597" s="1524"/>
      <c r="EK597" s="1524"/>
      <c r="EL597" s="1525"/>
      <c r="EM597" s="1523" t="str">
        <f t="shared" ref="EM597:EM631" si="20">IF(CC597&gt;0,O718,"")</f>
        <v/>
      </c>
      <c r="EN597" s="1524"/>
      <c r="EO597" s="1524"/>
      <c r="EP597" s="1524"/>
      <c r="EQ597" s="1525"/>
      <c r="ER597" s="1523" t="str">
        <f t="shared" ref="ER597:ER631" si="21">IF(CH597&gt;0,O718,"")</f>
        <v/>
      </c>
      <c r="ES597" s="1524"/>
      <c r="ET597" s="1524"/>
      <c r="EU597" s="1524"/>
      <c r="EV597" s="1525"/>
      <c r="EW597" s="1523" t="str">
        <f t="shared" ref="EW597:EW631" si="22">IF(CM597&gt;0,O718,"")</f>
        <v/>
      </c>
      <c r="EX597" s="1524"/>
      <c r="EY597" s="1524"/>
      <c r="EZ597" s="1524"/>
      <c r="FA597" s="1525"/>
    </row>
    <row r="598" spans="1:157" s="4" customFormat="1" ht="13" customHeight="1">
      <c r="A598" s="22"/>
      <c r="B598" t="s">
        <v>18</v>
      </c>
      <c r="C598"/>
      <c r="D598"/>
      <c r="E598"/>
      <c r="F598"/>
      <c r="G598"/>
      <c r="H598" s="1475"/>
      <c r="I598" s="1475"/>
      <c r="J598" s="1475"/>
      <c r="K598" s="1475"/>
      <c r="L598" s="1475"/>
      <c r="M598" s="1475"/>
      <c r="N598" s="1475"/>
      <c r="O598" s="1475"/>
      <c r="P598" s="1475"/>
      <c r="Q598" s="1475"/>
      <c r="R598" s="1475"/>
      <c r="S598"/>
      <c r="T598" s="22"/>
      <c r="U598" t="s">
        <v>18</v>
      </c>
      <c r="V598"/>
      <c r="W598"/>
      <c r="X598"/>
      <c r="Y598"/>
      <c r="Z598"/>
      <c r="AA598" s="1475"/>
      <c r="AB598" s="1475"/>
      <c r="AC598" s="1475"/>
      <c r="AD598" s="1475"/>
      <c r="AE598" s="1475"/>
      <c r="AF598" s="1475"/>
      <c r="AG598" s="1475"/>
      <c r="AH598" s="1475"/>
      <c r="AI598" s="1475"/>
      <c r="AJ598" s="1475"/>
      <c r="AK598" s="1475"/>
      <c r="AL598"/>
      <c r="AM598"/>
      <c r="AN598"/>
      <c r="AO598"/>
      <c r="AP598"/>
      <c r="AQ598"/>
      <c r="AR598"/>
      <c r="AS598"/>
      <c r="AT598"/>
      <c r="AU598"/>
      <c r="AV598"/>
      <c r="AW598"/>
      <c r="AX598"/>
      <c r="AY598"/>
      <c r="BA598" s="4" t="s">
        <v>163</v>
      </c>
      <c r="BB598" s="3"/>
      <c r="BC598" s="3"/>
      <c r="BD598" s="3"/>
      <c r="BE598" s="1523">
        <f t="shared" si="1"/>
        <v>0</v>
      </c>
      <c r="BF598" s="1525"/>
      <c r="BG598" s="1531">
        <f t="shared" si="2"/>
        <v>0</v>
      </c>
      <c r="BH598" s="1532"/>
      <c r="BI598" s="1523">
        <f t="shared" si="3"/>
        <v>1</v>
      </c>
      <c r="BJ598" s="1525"/>
      <c r="BK598" s="1531">
        <f t="shared" si="4"/>
        <v>3</v>
      </c>
      <c r="BL598" s="1532"/>
      <c r="BM598" s="3"/>
      <c r="BN598" s="1517">
        <f t="shared" si="5"/>
        <v>0</v>
      </c>
      <c r="BO598" s="1518"/>
      <c r="BP598" s="1518"/>
      <c r="BQ598" s="1518"/>
      <c r="BR598" s="1519"/>
      <c r="BS598" s="1526">
        <f t="shared" si="6"/>
        <v>0</v>
      </c>
      <c r="BT598" s="1526"/>
      <c r="BU598" s="1526"/>
      <c r="BV598" s="1526"/>
      <c r="BW598" s="1526"/>
      <c r="BX598" s="1526">
        <f t="shared" si="7"/>
        <v>3</v>
      </c>
      <c r="BY598" s="1526"/>
      <c r="BZ598" s="1526"/>
      <c r="CA598" s="1526"/>
      <c r="CB598" s="1526"/>
      <c r="CC598" s="1526">
        <f t="shared" si="8"/>
        <v>0</v>
      </c>
      <c r="CD598" s="1526"/>
      <c r="CE598" s="1526"/>
      <c r="CF598" s="1526"/>
      <c r="CG598" s="1526"/>
      <c r="CH598" s="1526">
        <f t="shared" si="9"/>
        <v>0</v>
      </c>
      <c r="CI598" s="1526"/>
      <c r="CJ598" s="1526"/>
      <c r="CK598" s="1526"/>
      <c r="CL598" s="1526"/>
      <c r="CM598" s="1526">
        <f t="shared" si="10"/>
        <v>0</v>
      </c>
      <c r="CN598" s="1526"/>
      <c r="CO598" s="1526"/>
      <c r="CP598" s="1526"/>
      <c r="CQ598" s="1526"/>
      <c r="CR598" s="6"/>
      <c r="CS598" s="1528">
        <f t="shared" si="11"/>
        <v>0</v>
      </c>
      <c r="CT598" s="1528"/>
      <c r="CU598" s="1528"/>
      <c r="CV598" s="1528"/>
      <c r="CW598" s="1528"/>
      <c r="CX598" s="1528">
        <f t="shared" si="12"/>
        <v>0</v>
      </c>
      <c r="CY598" s="1528"/>
      <c r="CZ598" s="1528"/>
      <c r="DA598" s="1528"/>
      <c r="DB598" s="1528"/>
      <c r="DC598" s="1528">
        <f t="shared" si="13"/>
        <v>3</v>
      </c>
      <c r="DD598" s="1528"/>
      <c r="DE598" s="1528"/>
      <c r="DF598" s="1528"/>
      <c r="DG598" s="1528"/>
      <c r="DH598" s="1528">
        <f t="shared" si="14"/>
        <v>0</v>
      </c>
      <c r="DI598" s="1528"/>
      <c r="DJ598" s="1528"/>
      <c r="DK598" s="1528"/>
      <c r="DL598" s="1528"/>
      <c r="DM598" s="1528">
        <f t="shared" si="15"/>
        <v>0</v>
      </c>
      <c r="DN598" s="1528"/>
      <c r="DO598" s="1528"/>
      <c r="DP598" s="1528"/>
      <c r="DQ598" s="1528"/>
      <c r="DR598" s="1528">
        <f t="shared" si="16"/>
        <v>0</v>
      </c>
      <c r="DS598" s="1528"/>
      <c r="DT598" s="1528"/>
      <c r="DU598" s="1528"/>
      <c r="DV598" s="1528"/>
      <c r="DX598" s="1523" t="str">
        <f t="shared" si="17"/>
        <v/>
      </c>
      <c r="DY598" s="1524"/>
      <c r="DZ598" s="1524"/>
      <c r="EA598" s="1524"/>
      <c r="EB598" s="1525"/>
      <c r="EC598" s="1523" t="str">
        <f t="shared" si="18"/>
        <v/>
      </c>
      <c r="ED598" s="1524"/>
      <c r="EE598" s="1524"/>
      <c r="EF598" s="1524"/>
      <c r="EG598" s="1525"/>
      <c r="EH598" s="1523">
        <f t="shared" si="19"/>
        <v>796</v>
      </c>
      <c r="EI598" s="1524"/>
      <c r="EJ598" s="1524"/>
      <c r="EK598" s="1524"/>
      <c r="EL598" s="1525"/>
      <c r="EM598" s="1523" t="str">
        <f t="shared" si="20"/>
        <v/>
      </c>
      <c r="EN598" s="1524"/>
      <c r="EO598" s="1524"/>
      <c r="EP598" s="1524"/>
      <c r="EQ598" s="1525"/>
      <c r="ER598" s="1523" t="str">
        <f t="shared" si="21"/>
        <v/>
      </c>
      <c r="ES598" s="1524"/>
      <c r="ET598" s="1524"/>
      <c r="EU598" s="1524"/>
      <c r="EV598" s="1525"/>
      <c r="EW598" s="1523" t="str">
        <f t="shared" si="22"/>
        <v/>
      </c>
      <c r="EX598" s="1524"/>
      <c r="EY598" s="1524"/>
      <c r="EZ598" s="1524"/>
      <c r="FA598" s="1525"/>
    </row>
    <row r="599" spans="1:157" ht="13" customHeight="1">
      <c r="A599" s="22"/>
      <c r="B599" t="s">
        <v>20</v>
      </c>
      <c r="N599" s="1467" t="s">
        <v>677</v>
      </c>
      <c r="O599" s="1467"/>
      <c r="T599" s="22"/>
      <c r="U599" t="s">
        <v>20</v>
      </c>
      <c r="AG599" s="1467" t="s">
        <v>677</v>
      </c>
      <c r="AH599" s="1467"/>
      <c r="BA599" s="4" t="s">
        <v>164</v>
      </c>
      <c r="BB599" s="3"/>
      <c r="BC599" s="3"/>
      <c r="BD599" s="3"/>
      <c r="BE599" s="1523">
        <f t="shared" si="1"/>
        <v>0</v>
      </c>
      <c r="BF599" s="1525"/>
      <c r="BG599" s="1531">
        <f t="shared" si="2"/>
        <v>0</v>
      </c>
      <c r="BH599" s="1532"/>
      <c r="BI599" s="1523">
        <f t="shared" si="3"/>
        <v>1</v>
      </c>
      <c r="BJ599" s="1525"/>
      <c r="BK599" s="1531">
        <f t="shared" si="4"/>
        <v>3</v>
      </c>
      <c r="BL599" s="1532"/>
      <c r="BM599" s="3"/>
      <c r="BN599" s="1517">
        <f t="shared" si="5"/>
        <v>0</v>
      </c>
      <c r="BO599" s="1518"/>
      <c r="BP599" s="1518"/>
      <c r="BQ599" s="1518"/>
      <c r="BR599" s="1519"/>
      <c r="BS599" s="1526">
        <f t="shared" si="6"/>
        <v>0</v>
      </c>
      <c r="BT599" s="1526"/>
      <c r="BU599" s="1526"/>
      <c r="BV599" s="1526"/>
      <c r="BW599" s="1526"/>
      <c r="BX599" s="1526">
        <f t="shared" si="7"/>
        <v>0</v>
      </c>
      <c r="BY599" s="1526"/>
      <c r="BZ599" s="1526"/>
      <c r="CA599" s="1526"/>
      <c r="CB599" s="1526"/>
      <c r="CC599" s="1526">
        <f t="shared" si="8"/>
        <v>3</v>
      </c>
      <c r="CD599" s="1526"/>
      <c r="CE599" s="1526"/>
      <c r="CF599" s="1526"/>
      <c r="CG599" s="1526"/>
      <c r="CH599" s="1526">
        <f t="shared" si="9"/>
        <v>0</v>
      </c>
      <c r="CI599" s="1526"/>
      <c r="CJ599" s="1526"/>
      <c r="CK599" s="1526"/>
      <c r="CL599" s="1526"/>
      <c r="CM599" s="1526">
        <f t="shared" si="10"/>
        <v>0</v>
      </c>
      <c r="CN599" s="1526"/>
      <c r="CO599" s="1526"/>
      <c r="CP599" s="1526"/>
      <c r="CQ599" s="1526"/>
      <c r="CR599" s="6"/>
      <c r="CS599" s="1528">
        <f t="shared" si="11"/>
        <v>0</v>
      </c>
      <c r="CT599" s="1528"/>
      <c r="CU599" s="1528"/>
      <c r="CV599" s="1528"/>
      <c r="CW599" s="1528"/>
      <c r="CX599" s="1528">
        <f t="shared" si="12"/>
        <v>0</v>
      </c>
      <c r="CY599" s="1528"/>
      <c r="CZ599" s="1528"/>
      <c r="DA599" s="1528"/>
      <c r="DB599" s="1528"/>
      <c r="DC599" s="1528">
        <f t="shared" si="13"/>
        <v>0</v>
      </c>
      <c r="DD599" s="1528"/>
      <c r="DE599" s="1528"/>
      <c r="DF599" s="1528"/>
      <c r="DG599" s="1528"/>
      <c r="DH599" s="1528">
        <f t="shared" si="14"/>
        <v>3</v>
      </c>
      <c r="DI599" s="1528"/>
      <c r="DJ599" s="1528"/>
      <c r="DK599" s="1528"/>
      <c r="DL599" s="1528"/>
      <c r="DM599" s="1528">
        <f t="shared" si="15"/>
        <v>0</v>
      </c>
      <c r="DN599" s="1528"/>
      <c r="DO599" s="1528"/>
      <c r="DP599" s="1528"/>
      <c r="DQ599" s="1528"/>
      <c r="DR599" s="1528">
        <f t="shared" si="16"/>
        <v>0</v>
      </c>
      <c r="DS599" s="1528"/>
      <c r="DT599" s="1528"/>
      <c r="DU599" s="1528"/>
      <c r="DV599" s="1528"/>
      <c r="DX599" s="1523" t="str">
        <f t="shared" si="17"/>
        <v/>
      </c>
      <c r="DY599" s="1524"/>
      <c r="DZ599" s="1524"/>
      <c r="EA599" s="1524"/>
      <c r="EB599" s="1525"/>
      <c r="EC599" s="1523" t="str">
        <f t="shared" si="18"/>
        <v/>
      </c>
      <c r="ED599" s="1524"/>
      <c r="EE599" s="1524"/>
      <c r="EF599" s="1524"/>
      <c r="EG599" s="1525"/>
      <c r="EH599" s="1523" t="str">
        <f t="shared" si="19"/>
        <v/>
      </c>
      <c r="EI599" s="1524"/>
      <c r="EJ599" s="1524"/>
      <c r="EK599" s="1524"/>
      <c r="EL599" s="1525"/>
      <c r="EM599" s="1523">
        <f t="shared" si="20"/>
        <v>914</v>
      </c>
      <c r="EN599" s="1524"/>
      <c r="EO599" s="1524"/>
      <c r="EP599" s="1524"/>
      <c r="EQ599" s="1525"/>
      <c r="ER599" s="1523" t="str">
        <f t="shared" si="21"/>
        <v/>
      </c>
      <c r="ES599" s="1524"/>
      <c r="ET599" s="1524"/>
      <c r="EU599" s="1524"/>
      <c r="EV599" s="1525"/>
      <c r="EW599" s="1523" t="str">
        <f t="shared" si="22"/>
        <v/>
      </c>
      <c r="EX599" s="1524"/>
      <c r="EY599" s="1524"/>
      <c r="EZ599" s="1524"/>
      <c r="FA599" s="1525"/>
    </row>
    <row r="600" spans="1:157" ht="13" customHeight="1">
      <c r="A600" s="22"/>
      <c r="T600" s="22"/>
      <c r="BA600" s="4" t="s">
        <v>165</v>
      </c>
      <c r="BB600" s="3"/>
      <c r="BC600" s="3"/>
      <c r="BD600" s="3"/>
      <c r="BE600" s="1523">
        <f t="shared" si="1"/>
        <v>1</v>
      </c>
      <c r="BF600" s="1525"/>
      <c r="BG600" s="1531">
        <f t="shared" si="2"/>
        <v>7</v>
      </c>
      <c r="BH600" s="1532"/>
      <c r="BI600" s="1523">
        <f t="shared" si="3"/>
        <v>0</v>
      </c>
      <c r="BJ600" s="1525"/>
      <c r="BK600" s="1531">
        <f t="shared" si="4"/>
        <v>0</v>
      </c>
      <c r="BL600" s="1532"/>
      <c r="BM600" s="3"/>
      <c r="BN600" s="1517">
        <f t="shared" si="5"/>
        <v>0</v>
      </c>
      <c r="BO600" s="1518"/>
      <c r="BP600" s="1518"/>
      <c r="BQ600" s="1518"/>
      <c r="BR600" s="1519"/>
      <c r="BS600" s="1526">
        <f t="shared" si="6"/>
        <v>7</v>
      </c>
      <c r="BT600" s="1526"/>
      <c r="BU600" s="1526"/>
      <c r="BV600" s="1526"/>
      <c r="BW600" s="1526"/>
      <c r="BX600" s="1526">
        <f t="shared" si="7"/>
        <v>0</v>
      </c>
      <c r="BY600" s="1526"/>
      <c r="BZ600" s="1526"/>
      <c r="CA600" s="1526"/>
      <c r="CB600" s="1526"/>
      <c r="CC600" s="1526">
        <f t="shared" si="8"/>
        <v>0</v>
      </c>
      <c r="CD600" s="1526"/>
      <c r="CE600" s="1526"/>
      <c r="CF600" s="1526"/>
      <c r="CG600" s="1526"/>
      <c r="CH600" s="1526">
        <f t="shared" si="9"/>
        <v>0</v>
      </c>
      <c r="CI600" s="1526"/>
      <c r="CJ600" s="1526"/>
      <c r="CK600" s="1526"/>
      <c r="CL600" s="1526"/>
      <c r="CM600" s="1526">
        <f t="shared" si="10"/>
        <v>0</v>
      </c>
      <c r="CN600" s="1526"/>
      <c r="CO600" s="1526"/>
      <c r="CP600" s="1526"/>
      <c r="CQ600" s="1526"/>
      <c r="CR600" s="6"/>
      <c r="CS600" s="1528">
        <f t="shared" si="11"/>
        <v>0</v>
      </c>
      <c r="CT600" s="1528"/>
      <c r="CU600" s="1528"/>
      <c r="CV600" s="1528"/>
      <c r="CW600" s="1528"/>
      <c r="CX600" s="1528">
        <f t="shared" si="12"/>
        <v>0</v>
      </c>
      <c r="CY600" s="1528"/>
      <c r="CZ600" s="1528"/>
      <c r="DA600" s="1528"/>
      <c r="DB600" s="1528"/>
      <c r="DC600" s="1528">
        <f t="shared" si="13"/>
        <v>0</v>
      </c>
      <c r="DD600" s="1528"/>
      <c r="DE600" s="1528"/>
      <c r="DF600" s="1528"/>
      <c r="DG600" s="1528"/>
      <c r="DH600" s="1528">
        <f t="shared" si="14"/>
        <v>0</v>
      </c>
      <c r="DI600" s="1528"/>
      <c r="DJ600" s="1528"/>
      <c r="DK600" s="1528"/>
      <c r="DL600" s="1528"/>
      <c r="DM600" s="1528">
        <f t="shared" si="15"/>
        <v>0</v>
      </c>
      <c r="DN600" s="1528"/>
      <c r="DO600" s="1528"/>
      <c r="DP600" s="1528"/>
      <c r="DQ600" s="1528"/>
      <c r="DR600" s="1528">
        <f t="shared" si="16"/>
        <v>0</v>
      </c>
      <c r="DS600" s="1528"/>
      <c r="DT600" s="1528"/>
      <c r="DU600" s="1528"/>
      <c r="DV600" s="1528"/>
      <c r="DX600" s="1523" t="str">
        <f t="shared" si="17"/>
        <v/>
      </c>
      <c r="DY600" s="1524"/>
      <c r="DZ600" s="1524"/>
      <c r="EA600" s="1524"/>
      <c r="EB600" s="1525"/>
      <c r="EC600" s="1523">
        <f t="shared" si="18"/>
        <v>1138</v>
      </c>
      <c r="ED600" s="1524"/>
      <c r="EE600" s="1524"/>
      <c r="EF600" s="1524"/>
      <c r="EG600" s="1525"/>
      <c r="EH600" s="1523" t="str">
        <f t="shared" si="19"/>
        <v/>
      </c>
      <c r="EI600" s="1524"/>
      <c r="EJ600" s="1524"/>
      <c r="EK600" s="1524"/>
      <c r="EL600" s="1525"/>
      <c r="EM600" s="1523" t="str">
        <f t="shared" si="20"/>
        <v/>
      </c>
      <c r="EN600" s="1524"/>
      <c r="EO600" s="1524"/>
      <c r="EP600" s="1524"/>
      <c r="EQ600" s="1525"/>
      <c r="ER600" s="1523" t="str">
        <f t="shared" si="21"/>
        <v/>
      </c>
      <c r="ES600" s="1524"/>
      <c r="ET600" s="1524"/>
      <c r="EU600" s="1524"/>
      <c r="EV600" s="1525"/>
      <c r="EW600" s="1523" t="str">
        <f t="shared" si="22"/>
        <v/>
      </c>
      <c r="EX600" s="1524"/>
      <c r="EY600" s="1524"/>
      <c r="EZ600" s="1524"/>
      <c r="FA600" s="1525"/>
    </row>
    <row r="601" spans="1:157" ht="13" customHeight="1">
      <c r="A601" s="55" t="s">
        <v>469</v>
      </c>
      <c r="B601" t="s">
        <v>471</v>
      </c>
      <c r="G601" s="1455">
        <f>C562</f>
        <v>0</v>
      </c>
      <c r="H601" s="1455"/>
      <c r="I601" s="1455"/>
      <c r="J601" s="1455"/>
      <c r="K601" s="1455"/>
      <c r="L601" s="1455"/>
      <c r="M601" s="1455"/>
      <c r="N601" s="1455"/>
      <c r="O601" s="1455"/>
      <c r="P601" s="1455"/>
      <c r="Q601" s="1455"/>
      <c r="R601" s="1455"/>
      <c r="T601" s="55" t="s">
        <v>654</v>
      </c>
      <c r="U601" t="s">
        <v>471</v>
      </c>
      <c r="Z601" s="1455">
        <f>C563</f>
        <v>0</v>
      </c>
      <c r="AA601" s="1455"/>
      <c r="AB601" s="1455"/>
      <c r="AC601" s="1455"/>
      <c r="AD601" s="1455"/>
      <c r="AE601" s="1455"/>
      <c r="AF601" s="1455"/>
      <c r="AG601" s="1455"/>
      <c r="AH601" s="1455"/>
      <c r="AI601" s="1455"/>
      <c r="AJ601" s="1455"/>
      <c r="AK601" s="1455"/>
      <c r="BA601" s="4" t="s">
        <v>30</v>
      </c>
      <c r="BB601" s="3"/>
      <c r="BC601" s="3"/>
      <c r="BD601" s="3"/>
      <c r="BE601" s="1523">
        <f t="shared" si="1"/>
        <v>1</v>
      </c>
      <c r="BF601" s="1525"/>
      <c r="BG601" s="1531">
        <f t="shared" si="2"/>
        <v>5</v>
      </c>
      <c r="BH601" s="1532"/>
      <c r="BI601" s="1523">
        <f t="shared" si="3"/>
        <v>0</v>
      </c>
      <c r="BJ601" s="1525"/>
      <c r="BK601" s="1531">
        <f t="shared" si="4"/>
        <v>0</v>
      </c>
      <c r="BL601" s="1532"/>
      <c r="BM601" s="3"/>
      <c r="BN601" s="1517">
        <f t="shared" si="5"/>
        <v>0</v>
      </c>
      <c r="BO601" s="1518"/>
      <c r="BP601" s="1518"/>
      <c r="BQ601" s="1518"/>
      <c r="BR601" s="1519"/>
      <c r="BS601" s="1526">
        <f t="shared" si="6"/>
        <v>0</v>
      </c>
      <c r="BT601" s="1526"/>
      <c r="BU601" s="1526"/>
      <c r="BV601" s="1526"/>
      <c r="BW601" s="1526"/>
      <c r="BX601" s="1526">
        <f t="shared" si="7"/>
        <v>5</v>
      </c>
      <c r="BY601" s="1526"/>
      <c r="BZ601" s="1526"/>
      <c r="CA601" s="1526"/>
      <c r="CB601" s="1526"/>
      <c r="CC601" s="1526">
        <f t="shared" si="8"/>
        <v>0</v>
      </c>
      <c r="CD601" s="1526"/>
      <c r="CE601" s="1526"/>
      <c r="CF601" s="1526"/>
      <c r="CG601" s="1526"/>
      <c r="CH601" s="1526">
        <f t="shared" si="9"/>
        <v>0</v>
      </c>
      <c r="CI601" s="1526"/>
      <c r="CJ601" s="1526"/>
      <c r="CK601" s="1526"/>
      <c r="CL601" s="1526"/>
      <c r="CM601" s="1526">
        <f t="shared" si="10"/>
        <v>0</v>
      </c>
      <c r="CN601" s="1526"/>
      <c r="CO601" s="1526"/>
      <c r="CP601" s="1526"/>
      <c r="CQ601" s="1526"/>
      <c r="CR601" s="6"/>
      <c r="CS601" s="1528">
        <f t="shared" si="11"/>
        <v>0</v>
      </c>
      <c r="CT601" s="1528"/>
      <c r="CU601" s="1528"/>
      <c r="CV601" s="1528"/>
      <c r="CW601" s="1528"/>
      <c r="CX601" s="1528">
        <f t="shared" si="12"/>
        <v>0</v>
      </c>
      <c r="CY601" s="1528"/>
      <c r="CZ601" s="1528"/>
      <c r="DA601" s="1528"/>
      <c r="DB601" s="1528"/>
      <c r="DC601" s="1528">
        <f t="shared" si="13"/>
        <v>0</v>
      </c>
      <c r="DD601" s="1528"/>
      <c r="DE601" s="1528"/>
      <c r="DF601" s="1528"/>
      <c r="DG601" s="1528"/>
      <c r="DH601" s="1528">
        <f t="shared" si="14"/>
        <v>0</v>
      </c>
      <c r="DI601" s="1528"/>
      <c r="DJ601" s="1528"/>
      <c r="DK601" s="1528"/>
      <c r="DL601" s="1528"/>
      <c r="DM601" s="1528">
        <f t="shared" si="15"/>
        <v>0</v>
      </c>
      <c r="DN601" s="1528"/>
      <c r="DO601" s="1528"/>
      <c r="DP601" s="1528"/>
      <c r="DQ601" s="1528"/>
      <c r="DR601" s="1528">
        <f t="shared" si="16"/>
        <v>0</v>
      </c>
      <c r="DS601" s="1528"/>
      <c r="DT601" s="1528"/>
      <c r="DU601" s="1528"/>
      <c r="DV601" s="1528"/>
      <c r="DX601" s="1523" t="str">
        <f t="shared" si="17"/>
        <v/>
      </c>
      <c r="DY601" s="1524"/>
      <c r="DZ601" s="1524"/>
      <c r="EA601" s="1524"/>
      <c r="EB601" s="1525"/>
      <c r="EC601" s="1523" t="str">
        <f t="shared" si="18"/>
        <v/>
      </c>
      <c r="ED601" s="1524"/>
      <c r="EE601" s="1524"/>
      <c r="EF601" s="1524"/>
      <c r="EG601" s="1525"/>
      <c r="EH601" s="1523">
        <f t="shared" si="19"/>
        <v>1363</v>
      </c>
      <c r="EI601" s="1524"/>
      <c r="EJ601" s="1524"/>
      <c r="EK601" s="1524"/>
      <c r="EL601" s="1525"/>
      <c r="EM601" s="1523" t="str">
        <f t="shared" si="20"/>
        <v/>
      </c>
      <c r="EN601" s="1524"/>
      <c r="EO601" s="1524"/>
      <c r="EP601" s="1524"/>
      <c r="EQ601" s="1525"/>
      <c r="ER601" s="1523" t="str">
        <f t="shared" si="21"/>
        <v/>
      </c>
      <c r="ES601" s="1524"/>
      <c r="ET601" s="1524"/>
      <c r="EU601" s="1524"/>
      <c r="EV601" s="1525"/>
      <c r="EW601" s="1523" t="str">
        <f t="shared" si="22"/>
        <v/>
      </c>
      <c r="EX601" s="1524"/>
      <c r="EY601" s="1524"/>
      <c r="EZ601" s="1524"/>
      <c r="FA601" s="1525"/>
    </row>
    <row r="602" spans="1:157" ht="13" customHeight="1">
      <c r="A602" s="22"/>
      <c r="B602" t="s">
        <v>85</v>
      </c>
      <c r="G602" s="1475"/>
      <c r="H602" s="1475"/>
      <c r="I602" s="1475"/>
      <c r="J602" s="1475"/>
      <c r="K602" s="1475"/>
      <c r="L602" s="1475"/>
      <c r="M602" s="1475"/>
      <c r="N602" s="1475"/>
      <c r="O602" s="1475"/>
      <c r="P602" s="1475"/>
      <c r="Q602" s="1475"/>
      <c r="R602" s="1475"/>
      <c r="T602" s="22"/>
      <c r="U602" t="s">
        <v>85</v>
      </c>
      <c r="Z602" s="1475"/>
      <c r="AA602" s="1475"/>
      <c r="AB602" s="1475"/>
      <c r="AC602" s="1475"/>
      <c r="AD602" s="1475"/>
      <c r="AE602" s="1475"/>
      <c r="AF602" s="1475"/>
      <c r="AG602" s="1475"/>
      <c r="AH602" s="1475"/>
      <c r="AI602" s="1475"/>
      <c r="AJ602" s="1475"/>
      <c r="AK602" s="1475"/>
      <c r="AZ602" s="3"/>
      <c r="BA602" s="3"/>
      <c r="BB602" s="3"/>
      <c r="BC602" s="3"/>
      <c r="BD602" s="3"/>
      <c r="BE602" s="1523">
        <f t="shared" si="1"/>
        <v>1</v>
      </c>
      <c r="BF602" s="1525"/>
      <c r="BG602" s="1531">
        <f t="shared" si="2"/>
        <v>3</v>
      </c>
      <c r="BH602" s="1532"/>
      <c r="BI602" s="1523">
        <f t="shared" si="3"/>
        <v>0</v>
      </c>
      <c r="BJ602" s="1525"/>
      <c r="BK602" s="1531">
        <f t="shared" si="4"/>
        <v>0</v>
      </c>
      <c r="BL602" s="1532"/>
      <c r="BM602" s="3"/>
      <c r="BN602" s="1517">
        <f t="shared" si="5"/>
        <v>0</v>
      </c>
      <c r="BO602" s="1518"/>
      <c r="BP602" s="1518"/>
      <c r="BQ602" s="1518"/>
      <c r="BR602" s="1519"/>
      <c r="BS602" s="1526">
        <f t="shared" si="6"/>
        <v>0</v>
      </c>
      <c r="BT602" s="1526"/>
      <c r="BU602" s="1526"/>
      <c r="BV602" s="1526"/>
      <c r="BW602" s="1526"/>
      <c r="BX602" s="1526">
        <f t="shared" si="7"/>
        <v>0</v>
      </c>
      <c r="BY602" s="1526"/>
      <c r="BZ602" s="1526"/>
      <c r="CA602" s="1526"/>
      <c r="CB602" s="1526"/>
      <c r="CC602" s="1526">
        <f t="shared" si="8"/>
        <v>3</v>
      </c>
      <c r="CD602" s="1526"/>
      <c r="CE602" s="1526"/>
      <c r="CF602" s="1526"/>
      <c r="CG602" s="1526"/>
      <c r="CH602" s="1526">
        <f t="shared" si="9"/>
        <v>0</v>
      </c>
      <c r="CI602" s="1526"/>
      <c r="CJ602" s="1526"/>
      <c r="CK602" s="1526"/>
      <c r="CL602" s="1526"/>
      <c r="CM602" s="1526">
        <f t="shared" si="10"/>
        <v>0</v>
      </c>
      <c r="CN602" s="1526"/>
      <c r="CO602" s="1526"/>
      <c r="CP602" s="1526"/>
      <c r="CQ602" s="1526"/>
      <c r="CR602" s="6"/>
      <c r="CS602" s="1528">
        <f t="shared" si="11"/>
        <v>0</v>
      </c>
      <c r="CT602" s="1528"/>
      <c r="CU602" s="1528"/>
      <c r="CV602" s="1528"/>
      <c r="CW602" s="1528"/>
      <c r="CX602" s="1528">
        <f t="shared" si="12"/>
        <v>0</v>
      </c>
      <c r="CY602" s="1528"/>
      <c r="CZ602" s="1528"/>
      <c r="DA602" s="1528"/>
      <c r="DB602" s="1528"/>
      <c r="DC602" s="1528">
        <f t="shared" si="13"/>
        <v>0</v>
      </c>
      <c r="DD602" s="1528"/>
      <c r="DE602" s="1528"/>
      <c r="DF602" s="1528"/>
      <c r="DG602" s="1528"/>
      <c r="DH602" s="1528">
        <f t="shared" si="14"/>
        <v>0</v>
      </c>
      <c r="DI602" s="1528"/>
      <c r="DJ602" s="1528"/>
      <c r="DK602" s="1528"/>
      <c r="DL602" s="1528"/>
      <c r="DM602" s="1528">
        <f t="shared" si="15"/>
        <v>0</v>
      </c>
      <c r="DN602" s="1528"/>
      <c r="DO602" s="1528"/>
      <c r="DP602" s="1528"/>
      <c r="DQ602" s="1528"/>
      <c r="DR602" s="1528">
        <f t="shared" si="16"/>
        <v>0</v>
      </c>
      <c r="DS602" s="1528"/>
      <c r="DT602" s="1528"/>
      <c r="DU602" s="1528"/>
      <c r="DV602" s="1528"/>
      <c r="DX602" s="1523" t="str">
        <f t="shared" si="17"/>
        <v/>
      </c>
      <c r="DY602" s="1524"/>
      <c r="DZ602" s="1524"/>
      <c r="EA602" s="1524"/>
      <c r="EB602" s="1525"/>
      <c r="EC602" s="1523" t="str">
        <f t="shared" si="18"/>
        <v/>
      </c>
      <c r="ED602" s="1524"/>
      <c r="EE602" s="1524"/>
      <c r="EF602" s="1524"/>
      <c r="EG602" s="1525"/>
      <c r="EH602" s="1523" t="str">
        <f t="shared" si="19"/>
        <v/>
      </c>
      <c r="EI602" s="1524"/>
      <c r="EJ602" s="1524"/>
      <c r="EK602" s="1524"/>
      <c r="EL602" s="1525"/>
      <c r="EM602" s="1523">
        <f t="shared" si="20"/>
        <v>1570</v>
      </c>
      <c r="EN602" s="1524"/>
      <c r="EO602" s="1524"/>
      <c r="EP602" s="1524"/>
      <c r="EQ602" s="1525"/>
      <c r="ER602" s="1523" t="str">
        <f t="shared" si="21"/>
        <v/>
      </c>
      <c r="ES602" s="1524"/>
      <c r="ET602" s="1524"/>
      <c r="EU602" s="1524"/>
      <c r="EV602" s="1525"/>
      <c r="EW602" s="1523" t="str">
        <f t="shared" si="22"/>
        <v/>
      </c>
      <c r="EX602" s="1524"/>
      <c r="EY602" s="1524"/>
      <c r="EZ602" s="1524"/>
      <c r="FA602" s="1525"/>
    </row>
    <row r="603" spans="1:157" ht="13" customHeight="1">
      <c r="A603" s="22"/>
      <c r="B603" t="s">
        <v>588</v>
      </c>
      <c r="G603" s="1475"/>
      <c r="H603" s="1475"/>
      <c r="I603" s="1475"/>
      <c r="J603" s="1475"/>
      <c r="K603" s="1475"/>
      <c r="L603" s="1475"/>
      <c r="M603" s="1475"/>
      <c r="N603" s="1475"/>
      <c r="O603" s="1475"/>
      <c r="P603" s="1475"/>
      <c r="Q603" s="1475"/>
      <c r="R603" s="1475"/>
      <c r="T603" s="22"/>
      <c r="U603" t="s">
        <v>588</v>
      </c>
      <c r="Z603" s="1471"/>
      <c r="AA603" s="1471"/>
      <c r="AB603" s="1471"/>
      <c r="AC603" s="1471"/>
      <c r="AD603" s="1471"/>
      <c r="AE603" s="1471"/>
      <c r="AF603" s="1471"/>
      <c r="AG603" s="1471"/>
      <c r="AH603" s="1471"/>
      <c r="AI603" s="1471"/>
      <c r="AJ603" s="1471"/>
      <c r="AK603" s="1471"/>
      <c r="AZ603" s="3"/>
      <c r="BA603" s="3"/>
      <c r="BB603" s="3"/>
      <c r="BC603" s="3"/>
      <c r="BD603" s="3"/>
      <c r="BE603" s="1523">
        <f t="shared" si="1"/>
        <v>0</v>
      </c>
      <c r="BF603" s="1525"/>
      <c r="BG603" s="1531">
        <f t="shared" si="2"/>
        <v>0</v>
      </c>
      <c r="BH603" s="1532"/>
      <c r="BI603" s="1523">
        <f t="shared" si="3"/>
        <v>0</v>
      </c>
      <c r="BJ603" s="1525"/>
      <c r="BK603" s="1531">
        <f t="shared" si="4"/>
        <v>0</v>
      </c>
      <c r="BL603" s="1532"/>
      <c r="BM603" s="3"/>
      <c r="BN603" s="1517">
        <f t="shared" si="5"/>
        <v>0</v>
      </c>
      <c r="BO603" s="1518"/>
      <c r="BP603" s="1518"/>
      <c r="BQ603" s="1518"/>
      <c r="BR603" s="1519"/>
      <c r="BS603" s="1526">
        <f t="shared" si="6"/>
        <v>11</v>
      </c>
      <c r="BT603" s="1526"/>
      <c r="BU603" s="1526"/>
      <c r="BV603" s="1526"/>
      <c r="BW603" s="1526"/>
      <c r="BX603" s="1526">
        <f t="shared" si="7"/>
        <v>0</v>
      </c>
      <c r="BY603" s="1526"/>
      <c r="BZ603" s="1526"/>
      <c r="CA603" s="1526"/>
      <c r="CB603" s="1526"/>
      <c r="CC603" s="1526">
        <f t="shared" si="8"/>
        <v>0</v>
      </c>
      <c r="CD603" s="1526"/>
      <c r="CE603" s="1526"/>
      <c r="CF603" s="1526"/>
      <c r="CG603" s="1526"/>
      <c r="CH603" s="1526">
        <f t="shared" si="9"/>
        <v>0</v>
      </c>
      <c r="CI603" s="1526"/>
      <c r="CJ603" s="1526"/>
      <c r="CK603" s="1526"/>
      <c r="CL603" s="1526"/>
      <c r="CM603" s="1526">
        <f t="shared" si="10"/>
        <v>0</v>
      </c>
      <c r="CN603" s="1526"/>
      <c r="CO603" s="1526"/>
      <c r="CP603" s="1526"/>
      <c r="CQ603" s="1526"/>
      <c r="CR603" s="6"/>
      <c r="CS603" s="1528">
        <f t="shared" si="11"/>
        <v>0</v>
      </c>
      <c r="CT603" s="1528"/>
      <c r="CU603" s="1528"/>
      <c r="CV603" s="1528"/>
      <c r="CW603" s="1528"/>
      <c r="CX603" s="1528">
        <f t="shared" si="12"/>
        <v>0</v>
      </c>
      <c r="CY603" s="1528"/>
      <c r="CZ603" s="1528"/>
      <c r="DA603" s="1528"/>
      <c r="DB603" s="1528"/>
      <c r="DC603" s="1528">
        <f t="shared" si="13"/>
        <v>0</v>
      </c>
      <c r="DD603" s="1528"/>
      <c r="DE603" s="1528"/>
      <c r="DF603" s="1528"/>
      <c r="DG603" s="1528"/>
      <c r="DH603" s="1528">
        <f t="shared" si="14"/>
        <v>0</v>
      </c>
      <c r="DI603" s="1528"/>
      <c r="DJ603" s="1528"/>
      <c r="DK603" s="1528"/>
      <c r="DL603" s="1528"/>
      <c r="DM603" s="1528">
        <f t="shared" si="15"/>
        <v>0</v>
      </c>
      <c r="DN603" s="1528"/>
      <c r="DO603" s="1528"/>
      <c r="DP603" s="1528"/>
      <c r="DQ603" s="1528"/>
      <c r="DR603" s="1528">
        <f t="shared" si="16"/>
        <v>0</v>
      </c>
      <c r="DS603" s="1528"/>
      <c r="DT603" s="1528"/>
      <c r="DU603" s="1528"/>
      <c r="DV603" s="1528"/>
      <c r="DX603" s="1523" t="str">
        <f t="shared" si="17"/>
        <v/>
      </c>
      <c r="DY603" s="1524"/>
      <c r="DZ603" s="1524"/>
      <c r="EA603" s="1524"/>
      <c r="EB603" s="1525"/>
      <c r="EC603" s="1523">
        <f t="shared" si="18"/>
        <v>1375</v>
      </c>
      <c r="ED603" s="1524"/>
      <c r="EE603" s="1524"/>
      <c r="EF603" s="1524"/>
      <c r="EG603" s="1525"/>
      <c r="EH603" s="1523" t="str">
        <f t="shared" si="19"/>
        <v/>
      </c>
      <c r="EI603" s="1524"/>
      <c r="EJ603" s="1524"/>
      <c r="EK603" s="1524"/>
      <c r="EL603" s="1525"/>
      <c r="EM603" s="1523" t="str">
        <f t="shared" si="20"/>
        <v/>
      </c>
      <c r="EN603" s="1524"/>
      <c r="EO603" s="1524"/>
      <c r="EP603" s="1524"/>
      <c r="EQ603" s="1525"/>
      <c r="ER603" s="1523" t="str">
        <f t="shared" si="21"/>
        <v/>
      </c>
      <c r="ES603" s="1524"/>
      <c r="ET603" s="1524"/>
      <c r="EU603" s="1524"/>
      <c r="EV603" s="1525"/>
      <c r="EW603" s="1523" t="str">
        <f t="shared" si="22"/>
        <v/>
      </c>
      <c r="EX603" s="1524"/>
      <c r="EY603" s="1524"/>
      <c r="EZ603" s="1524"/>
      <c r="FA603" s="1525"/>
    </row>
    <row r="604" spans="1:157" ht="13" customHeight="1">
      <c r="A604" s="22"/>
      <c r="B604" t="s">
        <v>17</v>
      </c>
      <c r="G604" s="1475"/>
      <c r="H604" s="1475"/>
      <c r="I604" s="1475"/>
      <c r="J604" s="1475"/>
      <c r="K604" s="1475"/>
      <c r="L604" s="1475"/>
      <c r="M604" s="1475"/>
      <c r="N604" s="1475"/>
      <c r="O604" s="1475"/>
      <c r="P604" s="1475"/>
      <c r="Q604" s="1475"/>
      <c r="R604" s="1475"/>
      <c r="T604" s="22"/>
      <c r="U604" t="s">
        <v>17</v>
      </c>
      <c r="Z604" s="1471"/>
      <c r="AA604" s="1471"/>
      <c r="AB604" s="1471"/>
      <c r="AC604" s="1471"/>
      <c r="AD604" s="1471"/>
      <c r="AE604" s="1471"/>
      <c r="AF604" s="1471"/>
      <c r="AG604" s="1471"/>
      <c r="AH604" s="1471"/>
      <c r="AI604" s="1471"/>
      <c r="AJ604" s="1471"/>
      <c r="AK604" s="1471"/>
      <c r="AZ604" s="3"/>
      <c r="BA604" s="3"/>
      <c r="BB604" s="3"/>
      <c r="BC604" s="3"/>
      <c r="BD604" s="3"/>
      <c r="BE604" s="1523">
        <f t="shared" si="1"/>
        <v>0</v>
      </c>
      <c r="BF604" s="1525"/>
      <c r="BG604" s="1531">
        <f t="shared" si="2"/>
        <v>0</v>
      </c>
      <c r="BH604" s="1532"/>
      <c r="BI604" s="1523">
        <f t="shared" si="3"/>
        <v>0</v>
      </c>
      <c r="BJ604" s="1525"/>
      <c r="BK604" s="1531">
        <f t="shared" si="4"/>
        <v>0</v>
      </c>
      <c r="BL604" s="1532"/>
      <c r="BM604" s="3"/>
      <c r="BN604" s="1517">
        <f t="shared" si="5"/>
        <v>0</v>
      </c>
      <c r="BO604" s="1518"/>
      <c r="BP604" s="1518"/>
      <c r="BQ604" s="1518"/>
      <c r="BR604" s="1519"/>
      <c r="BS604" s="1526">
        <f t="shared" si="6"/>
        <v>0</v>
      </c>
      <c r="BT604" s="1526"/>
      <c r="BU604" s="1526"/>
      <c r="BV604" s="1526"/>
      <c r="BW604" s="1526"/>
      <c r="BX604" s="1526">
        <f t="shared" si="7"/>
        <v>5</v>
      </c>
      <c r="BY604" s="1526"/>
      <c r="BZ604" s="1526"/>
      <c r="CA604" s="1526"/>
      <c r="CB604" s="1526"/>
      <c r="CC604" s="1526">
        <f t="shared" si="8"/>
        <v>0</v>
      </c>
      <c r="CD604" s="1526"/>
      <c r="CE604" s="1526"/>
      <c r="CF604" s="1526"/>
      <c r="CG604" s="1526"/>
      <c r="CH604" s="1526">
        <f t="shared" si="9"/>
        <v>0</v>
      </c>
      <c r="CI604" s="1526"/>
      <c r="CJ604" s="1526"/>
      <c r="CK604" s="1526"/>
      <c r="CL604" s="1526"/>
      <c r="CM604" s="1526">
        <f t="shared" si="10"/>
        <v>0</v>
      </c>
      <c r="CN604" s="1526"/>
      <c r="CO604" s="1526"/>
      <c r="CP604" s="1526"/>
      <c r="CQ604" s="1526"/>
      <c r="CR604" s="6"/>
      <c r="CS604" s="1528">
        <f t="shared" si="11"/>
        <v>0</v>
      </c>
      <c r="CT604" s="1528"/>
      <c r="CU604" s="1528"/>
      <c r="CV604" s="1528"/>
      <c r="CW604" s="1528"/>
      <c r="CX604" s="1528">
        <f t="shared" si="12"/>
        <v>0</v>
      </c>
      <c r="CY604" s="1528"/>
      <c r="CZ604" s="1528"/>
      <c r="DA604" s="1528"/>
      <c r="DB604" s="1528"/>
      <c r="DC604" s="1528">
        <f t="shared" si="13"/>
        <v>0</v>
      </c>
      <c r="DD604" s="1528"/>
      <c r="DE604" s="1528"/>
      <c r="DF604" s="1528"/>
      <c r="DG604" s="1528"/>
      <c r="DH604" s="1528">
        <f t="shared" si="14"/>
        <v>0</v>
      </c>
      <c r="DI604" s="1528"/>
      <c r="DJ604" s="1528"/>
      <c r="DK604" s="1528"/>
      <c r="DL604" s="1528"/>
      <c r="DM604" s="1528">
        <f t="shared" si="15"/>
        <v>0</v>
      </c>
      <c r="DN604" s="1528"/>
      <c r="DO604" s="1528"/>
      <c r="DP604" s="1528"/>
      <c r="DQ604" s="1528"/>
      <c r="DR604" s="1528">
        <f t="shared" si="16"/>
        <v>0</v>
      </c>
      <c r="DS604" s="1528"/>
      <c r="DT604" s="1528"/>
      <c r="DU604" s="1528"/>
      <c r="DV604" s="1528"/>
      <c r="DX604" s="1523" t="str">
        <f t="shared" si="17"/>
        <v/>
      </c>
      <c r="DY604" s="1524"/>
      <c r="DZ604" s="1524"/>
      <c r="EA604" s="1524"/>
      <c r="EB604" s="1525"/>
      <c r="EC604" s="1523" t="str">
        <f t="shared" si="18"/>
        <v/>
      </c>
      <c r="ED604" s="1524"/>
      <c r="EE604" s="1524"/>
      <c r="EF604" s="1524"/>
      <c r="EG604" s="1525"/>
      <c r="EH604" s="1523">
        <f t="shared" si="19"/>
        <v>1647</v>
      </c>
      <c r="EI604" s="1524"/>
      <c r="EJ604" s="1524"/>
      <c r="EK604" s="1524"/>
      <c r="EL604" s="1525"/>
      <c r="EM604" s="1523" t="str">
        <f t="shared" si="20"/>
        <v/>
      </c>
      <c r="EN604" s="1524"/>
      <c r="EO604" s="1524"/>
      <c r="EP604" s="1524"/>
      <c r="EQ604" s="1525"/>
      <c r="ER604" s="1523" t="str">
        <f t="shared" si="21"/>
        <v/>
      </c>
      <c r="ES604" s="1524"/>
      <c r="ET604" s="1524"/>
      <c r="EU604" s="1524"/>
      <c r="EV604" s="1525"/>
      <c r="EW604" s="1523" t="str">
        <f t="shared" si="22"/>
        <v/>
      </c>
      <c r="EX604" s="1524"/>
      <c r="EY604" s="1524"/>
      <c r="EZ604" s="1524"/>
      <c r="FA604" s="1525"/>
    </row>
    <row r="605" spans="1:157" s="4" customFormat="1" ht="13" customHeight="1">
      <c r="A605" s="22"/>
      <c r="B605" t="s">
        <v>316</v>
      </c>
      <c r="C605"/>
      <c r="D605"/>
      <c r="E605"/>
      <c r="F605"/>
      <c r="G605" s="1474"/>
      <c r="H605" s="1474"/>
      <c r="I605" s="1474"/>
      <c r="J605" s="1474"/>
      <c r="K605" s="1474"/>
      <c r="L605" s="1474"/>
      <c r="M605"/>
      <c r="N605"/>
      <c r="O605" s="33" t="s">
        <v>206</v>
      </c>
      <c r="P605" s="1476"/>
      <c r="Q605" s="1476"/>
      <c r="R605" s="1476"/>
      <c r="S605"/>
      <c r="T605" s="22"/>
      <c r="U605" t="s">
        <v>316</v>
      </c>
      <c r="V605"/>
      <c r="W605"/>
      <c r="X605"/>
      <c r="Y605"/>
      <c r="Z605" s="1474"/>
      <c r="AA605" s="1474"/>
      <c r="AB605" s="1474"/>
      <c r="AC605" s="1474"/>
      <c r="AD605" s="1474"/>
      <c r="AE605" s="1474"/>
      <c r="AF605"/>
      <c r="AG605"/>
      <c r="AH605" s="33" t="s">
        <v>206</v>
      </c>
      <c r="AI605" s="1476"/>
      <c r="AJ605" s="1476"/>
      <c r="AK605" s="1476"/>
      <c r="AL605"/>
      <c r="AM605"/>
      <c r="AN605"/>
      <c r="AO605"/>
      <c r="AP605"/>
      <c r="AQ605"/>
      <c r="AR605"/>
      <c r="AS605"/>
      <c r="AT605"/>
      <c r="AU605"/>
      <c r="AV605"/>
      <c r="AW605"/>
      <c r="AX605"/>
      <c r="AY605"/>
      <c r="AZ605" s="3"/>
      <c r="BA605" s="3"/>
      <c r="BB605" s="3"/>
      <c r="BC605" s="3"/>
      <c r="BD605" s="3"/>
      <c r="BE605" s="1523">
        <f t="shared" si="1"/>
        <v>0</v>
      </c>
      <c r="BF605" s="1525"/>
      <c r="BG605" s="1531">
        <f t="shared" si="2"/>
        <v>0</v>
      </c>
      <c r="BH605" s="1532"/>
      <c r="BI605" s="1523">
        <f t="shared" si="3"/>
        <v>0</v>
      </c>
      <c r="BJ605" s="1525"/>
      <c r="BK605" s="1531">
        <f t="shared" si="4"/>
        <v>0</v>
      </c>
      <c r="BL605" s="1532"/>
      <c r="BM605" s="3"/>
      <c r="BN605" s="1517">
        <f t="shared" si="5"/>
        <v>0</v>
      </c>
      <c r="BO605" s="1518"/>
      <c r="BP605" s="1518"/>
      <c r="BQ605" s="1518"/>
      <c r="BR605" s="1519"/>
      <c r="BS605" s="1526">
        <f t="shared" si="6"/>
        <v>0</v>
      </c>
      <c r="BT605" s="1526"/>
      <c r="BU605" s="1526"/>
      <c r="BV605" s="1526"/>
      <c r="BW605" s="1526"/>
      <c r="BX605" s="1526">
        <f t="shared" si="7"/>
        <v>0</v>
      </c>
      <c r="BY605" s="1526"/>
      <c r="BZ605" s="1526"/>
      <c r="CA605" s="1526"/>
      <c r="CB605" s="1526"/>
      <c r="CC605" s="1526">
        <f t="shared" si="8"/>
        <v>6</v>
      </c>
      <c r="CD605" s="1526"/>
      <c r="CE605" s="1526"/>
      <c r="CF605" s="1526"/>
      <c r="CG605" s="1526"/>
      <c r="CH605" s="1526">
        <f t="shared" si="9"/>
        <v>0</v>
      </c>
      <c r="CI605" s="1526"/>
      <c r="CJ605" s="1526"/>
      <c r="CK605" s="1526"/>
      <c r="CL605" s="1526"/>
      <c r="CM605" s="1526">
        <f t="shared" si="10"/>
        <v>0</v>
      </c>
      <c r="CN605" s="1526"/>
      <c r="CO605" s="1526"/>
      <c r="CP605" s="1526"/>
      <c r="CQ605" s="1526"/>
      <c r="CR605" s="6"/>
      <c r="CS605" s="1528">
        <f t="shared" si="11"/>
        <v>0</v>
      </c>
      <c r="CT605" s="1528"/>
      <c r="CU605" s="1528"/>
      <c r="CV605" s="1528"/>
      <c r="CW605" s="1528"/>
      <c r="CX605" s="1528">
        <f t="shared" si="12"/>
        <v>0</v>
      </c>
      <c r="CY605" s="1528"/>
      <c r="CZ605" s="1528"/>
      <c r="DA605" s="1528"/>
      <c r="DB605" s="1528"/>
      <c r="DC605" s="1528">
        <f t="shared" si="13"/>
        <v>0</v>
      </c>
      <c r="DD605" s="1528"/>
      <c r="DE605" s="1528"/>
      <c r="DF605" s="1528"/>
      <c r="DG605" s="1528"/>
      <c r="DH605" s="1528">
        <f t="shared" si="14"/>
        <v>0</v>
      </c>
      <c r="DI605" s="1528"/>
      <c r="DJ605" s="1528"/>
      <c r="DK605" s="1528"/>
      <c r="DL605" s="1528"/>
      <c r="DM605" s="1528">
        <f t="shared" si="15"/>
        <v>0</v>
      </c>
      <c r="DN605" s="1528"/>
      <c r="DO605" s="1528"/>
      <c r="DP605" s="1528"/>
      <c r="DQ605" s="1528"/>
      <c r="DR605" s="1528">
        <f t="shared" si="16"/>
        <v>0</v>
      </c>
      <c r="DS605" s="1528"/>
      <c r="DT605" s="1528"/>
      <c r="DU605" s="1528"/>
      <c r="DV605" s="1528"/>
      <c r="DX605" s="1523" t="str">
        <f t="shared" si="17"/>
        <v/>
      </c>
      <c r="DY605" s="1524"/>
      <c r="DZ605" s="1524"/>
      <c r="EA605" s="1524"/>
      <c r="EB605" s="1525"/>
      <c r="EC605" s="1523" t="str">
        <f t="shared" si="18"/>
        <v/>
      </c>
      <c r="ED605" s="1524"/>
      <c r="EE605" s="1524"/>
      <c r="EF605" s="1524"/>
      <c r="EG605" s="1525"/>
      <c r="EH605" s="1523" t="str">
        <f t="shared" si="19"/>
        <v/>
      </c>
      <c r="EI605" s="1524"/>
      <c r="EJ605" s="1524"/>
      <c r="EK605" s="1524"/>
      <c r="EL605" s="1525"/>
      <c r="EM605" s="1523">
        <f t="shared" si="20"/>
        <v>1898</v>
      </c>
      <c r="EN605" s="1524"/>
      <c r="EO605" s="1524"/>
      <c r="EP605" s="1524"/>
      <c r="EQ605" s="1525"/>
      <c r="ER605" s="1523" t="str">
        <f t="shared" si="21"/>
        <v/>
      </c>
      <c r="ES605" s="1524"/>
      <c r="ET605" s="1524"/>
      <c r="EU605" s="1524"/>
      <c r="EV605" s="1525"/>
      <c r="EW605" s="1523" t="str">
        <f t="shared" si="22"/>
        <v/>
      </c>
      <c r="EX605" s="1524"/>
      <c r="EY605" s="1524"/>
      <c r="EZ605" s="1524"/>
      <c r="FA605" s="1525"/>
    </row>
    <row r="606" spans="1:157" s="4" customFormat="1" ht="13" customHeight="1">
      <c r="A606" s="22"/>
      <c r="B606" t="s">
        <v>18</v>
      </c>
      <c r="C606"/>
      <c r="D606"/>
      <c r="E606"/>
      <c r="F606"/>
      <c r="G606"/>
      <c r="H606" s="1475"/>
      <c r="I606" s="1475"/>
      <c r="J606" s="1475"/>
      <c r="K606" s="1475"/>
      <c r="L606" s="1475"/>
      <c r="M606" s="1475"/>
      <c r="N606" s="1475"/>
      <c r="O606" s="1475"/>
      <c r="P606" s="1475"/>
      <c r="Q606" s="1475"/>
      <c r="R606" s="1475"/>
      <c r="S606"/>
      <c r="T606" s="22"/>
      <c r="U606" t="s">
        <v>18</v>
      </c>
      <c r="V606"/>
      <c r="W606"/>
      <c r="X606"/>
      <c r="Y606"/>
      <c r="Z606"/>
      <c r="AA606" s="1475"/>
      <c r="AB606" s="1475"/>
      <c r="AC606" s="1475"/>
      <c r="AD606" s="1475"/>
      <c r="AE606" s="1475"/>
      <c r="AF606" s="1475"/>
      <c r="AG606" s="1475"/>
      <c r="AH606" s="1475"/>
      <c r="AI606" s="1475"/>
      <c r="AJ606" s="1475"/>
      <c r="AK606" s="1475"/>
      <c r="AL606"/>
      <c r="AM606"/>
      <c r="AN606"/>
      <c r="AO606"/>
      <c r="AP606"/>
      <c r="AQ606"/>
      <c r="AR606"/>
      <c r="AS606"/>
      <c r="AT606"/>
      <c r="AU606"/>
      <c r="AV606"/>
      <c r="AW606"/>
      <c r="AX606"/>
      <c r="AY606"/>
      <c r="AZ606" s="3"/>
      <c r="BA606" s="3"/>
      <c r="BB606" s="3"/>
      <c r="BC606" s="3"/>
      <c r="BD606" s="3"/>
      <c r="BE606" s="1523">
        <f t="shared" si="1"/>
        <v>0</v>
      </c>
      <c r="BF606" s="1525"/>
      <c r="BG606" s="1531">
        <f t="shared" si="2"/>
        <v>0</v>
      </c>
      <c r="BH606" s="1532"/>
      <c r="BI606" s="1523">
        <f t="shared" si="3"/>
        <v>0</v>
      </c>
      <c r="BJ606" s="1525"/>
      <c r="BK606" s="1531">
        <f t="shared" si="4"/>
        <v>0</v>
      </c>
      <c r="BL606" s="1532"/>
      <c r="BM606" s="3"/>
      <c r="BN606" s="1517">
        <f t="shared" si="5"/>
        <v>0</v>
      </c>
      <c r="BO606" s="1518"/>
      <c r="BP606" s="1518"/>
      <c r="BQ606" s="1518"/>
      <c r="BR606" s="1519"/>
      <c r="BS606" s="1526">
        <f t="shared" si="6"/>
        <v>8</v>
      </c>
      <c r="BT606" s="1526"/>
      <c r="BU606" s="1526"/>
      <c r="BV606" s="1526"/>
      <c r="BW606" s="1526"/>
      <c r="BX606" s="1526">
        <f t="shared" si="7"/>
        <v>0</v>
      </c>
      <c r="BY606" s="1526"/>
      <c r="BZ606" s="1526"/>
      <c r="CA606" s="1526"/>
      <c r="CB606" s="1526"/>
      <c r="CC606" s="1526">
        <f t="shared" si="8"/>
        <v>0</v>
      </c>
      <c r="CD606" s="1526"/>
      <c r="CE606" s="1526"/>
      <c r="CF606" s="1526"/>
      <c r="CG606" s="1526"/>
      <c r="CH606" s="1526">
        <f t="shared" si="9"/>
        <v>0</v>
      </c>
      <c r="CI606" s="1526"/>
      <c r="CJ606" s="1526"/>
      <c r="CK606" s="1526"/>
      <c r="CL606" s="1526"/>
      <c r="CM606" s="1526">
        <f t="shared" si="10"/>
        <v>0</v>
      </c>
      <c r="CN606" s="1526"/>
      <c r="CO606" s="1526"/>
      <c r="CP606" s="1526"/>
      <c r="CQ606" s="1526"/>
      <c r="CR606" s="6"/>
      <c r="CS606" s="1528">
        <f t="shared" si="11"/>
        <v>0</v>
      </c>
      <c r="CT606" s="1528"/>
      <c r="CU606" s="1528"/>
      <c r="CV606" s="1528"/>
      <c r="CW606" s="1528"/>
      <c r="CX606" s="1528">
        <f t="shared" si="12"/>
        <v>0</v>
      </c>
      <c r="CY606" s="1528"/>
      <c r="CZ606" s="1528"/>
      <c r="DA606" s="1528"/>
      <c r="DB606" s="1528"/>
      <c r="DC606" s="1528">
        <f t="shared" si="13"/>
        <v>0</v>
      </c>
      <c r="DD606" s="1528"/>
      <c r="DE606" s="1528"/>
      <c r="DF606" s="1528"/>
      <c r="DG606" s="1528"/>
      <c r="DH606" s="1528">
        <f t="shared" si="14"/>
        <v>0</v>
      </c>
      <c r="DI606" s="1528"/>
      <c r="DJ606" s="1528"/>
      <c r="DK606" s="1528"/>
      <c r="DL606" s="1528"/>
      <c r="DM606" s="1528">
        <f t="shared" si="15"/>
        <v>0</v>
      </c>
      <c r="DN606" s="1528"/>
      <c r="DO606" s="1528"/>
      <c r="DP606" s="1528"/>
      <c r="DQ606" s="1528"/>
      <c r="DR606" s="1528">
        <f t="shared" si="16"/>
        <v>0</v>
      </c>
      <c r="DS606" s="1528"/>
      <c r="DT606" s="1528"/>
      <c r="DU606" s="1528"/>
      <c r="DV606" s="1528"/>
      <c r="DX606" s="1523" t="str">
        <f t="shared" si="17"/>
        <v/>
      </c>
      <c r="DY606" s="1524"/>
      <c r="DZ606" s="1524"/>
      <c r="EA606" s="1524"/>
      <c r="EB606" s="1525"/>
      <c r="EC606" s="1523">
        <f t="shared" si="18"/>
        <v>1611</v>
      </c>
      <c r="ED606" s="1524"/>
      <c r="EE606" s="1524"/>
      <c r="EF606" s="1524"/>
      <c r="EG606" s="1525"/>
      <c r="EH606" s="1523" t="str">
        <f t="shared" si="19"/>
        <v/>
      </c>
      <c r="EI606" s="1524"/>
      <c r="EJ606" s="1524"/>
      <c r="EK606" s="1524"/>
      <c r="EL606" s="1525"/>
      <c r="EM606" s="1523" t="str">
        <f t="shared" si="20"/>
        <v/>
      </c>
      <c r="EN606" s="1524"/>
      <c r="EO606" s="1524"/>
      <c r="EP606" s="1524"/>
      <c r="EQ606" s="1525"/>
      <c r="ER606" s="1523" t="str">
        <f t="shared" si="21"/>
        <v/>
      </c>
      <c r="ES606" s="1524"/>
      <c r="ET606" s="1524"/>
      <c r="EU606" s="1524"/>
      <c r="EV606" s="1525"/>
      <c r="EW606" s="1523" t="str">
        <f t="shared" si="22"/>
        <v/>
      </c>
      <c r="EX606" s="1524"/>
      <c r="EY606" s="1524"/>
      <c r="EZ606" s="1524"/>
      <c r="FA606" s="1525"/>
    </row>
    <row r="607" spans="1:157" s="4" customFormat="1" ht="13" customHeight="1">
      <c r="A607" s="22"/>
      <c r="B607" t="s">
        <v>20</v>
      </c>
      <c r="C607"/>
      <c r="D607"/>
      <c r="E607"/>
      <c r="F607"/>
      <c r="G607"/>
      <c r="H607"/>
      <c r="I607"/>
      <c r="J607"/>
      <c r="K607"/>
      <c r="L607"/>
      <c r="M607"/>
      <c r="N607" s="1467" t="s">
        <v>677</v>
      </c>
      <c r="O607" s="1467"/>
      <c r="P607"/>
      <c r="Q607"/>
      <c r="R607"/>
      <c r="S607"/>
      <c r="T607" s="22"/>
      <c r="U607" t="s">
        <v>20</v>
      </c>
      <c r="V607"/>
      <c r="W607"/>
      <c r="X607"/>
      <c r="Y607"/>
      <c r="Z607"/>
      <c r="AA607"/>
      <c r="AB607"/>
      <c r="AC607"/>
      <c r="AD607"/>
      <c r="AE607"/>
      <c r="AF607"/>
      <c r="AG607" s="1467" t="s">
        <v>677</v>
      </c>
      <c r="AH607" s="1467"/>
      <c r="AI607"/>
      <c r="AJ607"/>
      <c r="AK607"/>
      <c r="AL607"/>
      <c r="AM607"/>
      <c r="AN607"/>
      <c r="AO607"/>
      <c r="AP607"/>
      <c r="AQ607"/>
      <c r="AR607"/>
      <c r="AS607"/>
      <c r="AT607"/>
      <c r="AU607"/>
      <c r="AV607"/>
      <c r="AW607"/>
      <c r="AX607"/>
      <c r="AY607"/>
      <c r="AZ607" s="3"/>
      <c r="BA607" s="3"/>
      <c r="BB607" s="3"/>
      <c r="BC607" s="3"/>
      <c r="BD607" s="3"/>
      <c r="BE607" s="1523">
        <f t="shared" si="1"/>
        <v>0</v>
      </c>
      <c r="BF607" s="1525"/>
      <c r="BG607" s="1531">
        <f t="shared" si="2"/>
        <v>0</v>
      </c>
      <c r="BH607" s="1532"/>
      <c r="BI607" s="1523">
        <f t="shared" si="3"/>
        <v>0</v>
      </c>
      <c r="BJ607" s="1525"/>
      <c r="BK607" s="1531">
        <f t="shared" si="4"/>
        <v>0</v>
      </c>
      <c r="BL607" s="1532"/>
      <c r="BM607" s="3"/>
      <c r="BN607" s="1517">
        <f t="shared" si="5"/>
        <v>0</v>
      </c>
      <c r="BO607" s="1518"/>
      <c r="BP607" s="1518"/>
      <c r="BQ607" s="1518"/>
      <c r="BR607" s="1519"/>
      <c r="BS607" s="1526">
        <f t="shared" si="6"/>
        <v>0</v>
      </c>
      <c r="BT607" s="1526"/>
      <c r="BU607" s="1526"/>
      <c r="BV607" s="1526"/>
      <c r="BW607" s="1526"/>
      <c r="BX607" s="1526">
        <f t="shared" si="7"/>
        <v>5</v>
      </c>
      <c r="BY607" s="1526"/>
      <c r="BZ607" s="1526"/>
      <c r="CA607" s="1526"/>
      <c r="CB607" s="1526"/>
      <c r="CC607" s="1526">
        <f t="shared" si="8"/>
        <v>0</v>
      </c>
      <c r="CD607" s="1526"/>
      <c r="CE607" s="1526"/>
      <c r="CF607" s="1526"/>
      <c r="CG607" s="1526"/>
      <c r="CH607" s="1526">
        <f t="shared" si="9"/>
        <v>0</v>
      </c>
      <c r="CI607" s="1526"/>
      <c r="CJ607" s="1526"/>
      <c r="CK607" s="1526"/>
      <c r="CL607" s="1526"/>
      <c r="CM607" s="1526">
        <f t="shared" si="10"/>
        <v>0</v>
      </c>
      <c r="CN607" s="1526"/>
      <c r="CO607" s="1526"/>
      <c r="CP607" s="1526"/>
      <c r="CQ607" s="1526"/>
      <c r="CR607" s="6"/>
      <c r="CS607" s="1528">
        <f t="shared" si="11"/>
        <v>0</v>
      </c>
      <c r="CT607" s="1528"/>
      <c r="CU607" s="1528"/>
      <c r="CV607" s="1528"/>
      <c r="CW607" s="1528"/>
      <c r="CX607" s="1528">
        <f t="shared" si="12"/>
        <v>0</v>
      </c>
      <c r="CY607" s="1528"/>
      <c r="CZ607" s="1528"/>
      <c r="DA607" s="1528"/>
      <c r="DB607" s="1528"/>
      <c r="DC607" s="1528">
        <f t="shared" si="13"/>
        <v>0</v>
      </c>
      <c r="DD607" s="1528"/>
      <c r="DE607" s="1528"/>
      <c r="DF607" s="1528"/>
      <c r="DG607" s="1528"/>
      <c r="DH607" s="1528">
        <f t="shared" si="14"/>
        <v>0</v>
      </c>
      <c r="DI607" s="1528"/>
      <c r="DJ607" s="1528"/>
      <c r="DK607" s="1528"/>
      <c r="DL607" s="1528"/>
      <c r="DM607" s="1528">
        <f t="shared" si="15"/>
        <v>0</v>
      </c>
      <c r="DN607" s="1528"/>
      <c r="DO607" s="1528"/>
      <c r="DP607" s="1528"/>
      <c r="DQ607" s="1528"/>
      <c r="DR607" s="1528">
        <f t="shared" si="16"/>
        <v>0</v>
      </c>
      <c r="DS607" s="1528"/>
      <c r="DT607" s="1528"/>
      <c r="DU607" s="1528"/>
      <c r="DV607" s="1528"/>
      <c r="DX607" s="1523" t="str">
        <f t="shared" si="17"/>
        <v/>
      </c>
      <c r="DY607" s="1524"/>
      <c r="DZ607" s="1524"/>
      <c r="EA607" s="1524"/>
      <c r="EB607" s="1525"/>
      <c r="EC607" s="1523" t="str">
        <f t="shared" si="18"/>
        <v/>
      </c>
      <c r="ED607" s="1524"/>
      <c r="EE607" s="1524"/>
      <c r="EF607" s="1524"/>
      <c r="EG607" s="1525"/>
      <c r="EH607" s="1523">
        <f t="shared" si="19"/>
        <v>1931</v>
      </c>
      <c r="EI607" s="1524"/>
      <c r="EJ607" s="1524"/>
      <c r="EK607" s="1524"/>
      <c r="EL607" s="1525"/>
      <c r="EM607" s="1523" t="str">
        <f t="shared" si="20"/>
        <v/>
      </c>
      <c r="EN607" s="1524"/>
      <c r="EO607" s="1524"/>
      <c r="EP607" s="1524"/>
      <c r="EQ607" s="1525"/>
      <c r="ER607" s="1523" t="str">
        <f t="shared" si="21"/>
        <v/>
      </c>
      <c r="ES607" s="1524"/>
      <c r="ET607" s="1524"/>
      <c r="EU607" s="1524"/>
      <c r="EV607" s="1525"/>
      <c r="EW607" s="1523" t="str">
        <f t="shared" si="22"/>
        <v/>
      </c>
      <c r="EX607" s="1524"/>
      <c r="EY607" s="1524"/>
      <c r="EZ607" s="1524"/>
      <c r="FA607" s="1525"/>
    </row>
    <row r="608" spans="1:157" ht="13" customHeight="1">
      <c r="A608" s="22"/>
      <c r="T608" s="22"/>
      <c r="AZ608" s="3"/>
      <c r="BA608" s="3"/>
      <c r="BB608" s="3"/>
      <c r="BC608" s="3"/>
      <c r="BD608" s="3"/>
      <c r="BE608" s="1523">
        <f t="shared" si="1"/>
        <v>0</v>
      </c>
      <c r="BF608" s="1525"/>
      <c r="BG608" s="1531">
        <f t="shared" si="2"/>
        <v>0</v>
      </c>
      <c r="BH608" s="1532"/>
      <c r="BI608" s="1523">
        <f t="shared" si="3"/>
        <v>0</v>
      </c>
      <c r="BJ608" s="1525"/>
      <c r="BK608" s="1531">
        <f t="shared" si="4"/>
        <v>0</v>
      </c>
      <c r="BL608" s="1532"/>
      <c r="BM608" s="3"/>
      <c r="BN608" s="1517">
        <f t="shared" si="5"/>
        <v>0</v>
      </c>
      <c r="BO608" s="1518"/>
      <c r="BP608" s="1518"/>
      <c r="BQ608" s="1518"/>
      <c r="BR608" s="1519"/>
      <c r="BS608" s="1526">
        <f t="shared" si="6"/>
        <v>0</v>
      </c>
      <c r="BT608" s="1526"/>
      <c r="BU608" s="1526"/>
      <c r="BV608" s="1526"/>
      <c r="BW608" s="1526"/>
      <c r="BX608" s="1526">
        <f t="shared" si="7"/>
        <v>0</v>
      </c>
      <c r="BY608" s="1526"/>
      <c r="BZ608" s="1526"/>
      <c r="CA608" s="1526"/>
      <c r="CB608" s="1526"/>
      <c r="CC608" s="1526">
        <f t="shared" si="8"/>
        <v>5</v>
      </c>
      <c r="CD608" s="1526"/>
      <c r="CE608" s="1526"/>
      <c r="CF608" s="1526"/>
      <c r="CG608" s="1526"/>
      <c r="CH608" s="1526">
        <f t="shared" si="9"/>
        <v>0</v>
      </c>
      <c r="CI608" s="1526"/>
      <c r="CJ608" s="1526"/>
      <c r="CK608" s="1526"/>
      <c r="CL608" s="1526"/>
      <c r="CM608" s="1526">
        <f t="shared" si="10"/>
        <v>0</v>
      </c>
      <c r="CN608" s="1526"/>
      <c r="CO608" s="1526"/>
      <c r="CP608" s="1526"/>
      <c r="CQ608" s="1526"/>
      <c r="CR608" s="6"/>
      <c r="CS608" s="1528">
        <f t="shared" si="11"/>
        <v>0</v>
      </c>
      <c r="CT608" s="1528"/>
      <c r="CU608" s="1528"/>
      <c r="CV608" s="1528"/>
      <c r="CW608" s="1528"/>
      <c r="CX608" s="1528">
        <f t="shared" si="12"/>
        <v>0</v>
      </c>
      <c r="CY608" s="1528"/>
      <c r="CZ608" s="1528"/>
      <c r="DA608" s="1528"/>
      <c r="DB608" s="1528"/>
      <c r="DC608" s="1528">
        <f t="shared" si="13"/>
        <v>0</v>
      </c>
      <c r="DD608" s="1528"/>
      <c r="DE608" s="1528"/>
      <c r="DF608" s="1528"/>
      <c r="DG608" s="1528"/>
      <c r="DH608" s="1528">
        <f t="shared" si="14"/>
        <v>0</v>
      </c>
      <c r="DI608" s="1528"/>
      <c r="DJ608" s="1528"/>
      <c r="DK608" s="1528"/>
      <c r="DL608" s="1528"/>
      <c r="DM608" s="1528">
        <f t="shared" si="15"/>
        <v>0</v>
      </c>
      <c r="DN608" s="1528"/>
      <c r="DO608" s="1528"/>
      <c r="DP608" s="1528"/>
      <c r="DQ608" s="1528"/>
      <c r="DR608" s="1528">
        <f t="shared" si="16"/>
        <v>0</v>
      </c>
      <c r="DS608" s="1528"/>
      <c r="DT608" s="1528"/>
      <c r="DU608" s="1528"/>
      <c r="DV608" s="1528"/>
      <c r="DX608" s="1523" t="str">
        <f t="shared" si="17"/>
        <v/>
      </c>
      <c r="DY608" s="1524"/>
      <c r="DZ608" s="1524"/>
      <c r="EA608" s="1524"/>
      <c r="EB608" s="1525"/>
      <c r="EC608" s="1523" t="str">
        <f t="shared" si="18"/>
        <v/>
      </c>
      <c r="ED608" s="1524"/>
      <c r="EE608" s="1524"/>
      <c r="EF608" s="1524"/>
      <c r="EG608" s="1525"/>
      <c r="EH608" s="1523" t="str">
        <f t="shared" si="19"/>
        <v/>
      </c>
      <c r="EI608" s="1524"/>
      <c r="EJ608" s="1524"/>
      <c r="EK608" s="1524"/>
      <c r="EL608" s="1525"/>
      <c r="EM608" s="1523">
        <f t="shared" si="20"/>
        <v>2226</v>
      </c>
      <c r="EN608" s="1524"/>
      <c r="EO608" s="1524"/>
      <c r="EP608" s="1524"/>
      <c r="EQ608" s="1525"/>
      <c r="ER608" s="1523" t="str">
        <f t="shared" si="21"/>
        <v/>
      </c>
      <c r="ES608" s="1524"/>
      <c r="ET608" s="1524"/>
      <c r="EU608" s="1524"/>
      <c r="EV608" s="1525"/>
      <c r="EW608" s="1523" t="str">
        <f t="shared" si="22"/>
        <v/>
      </c>
      <c r="EX608" s="1524"/>
      <c r="EY608" s="1524"/>
      <c r="EZ608" s="1524"/>
      <c r="FA608" s="1525"/>
    </row>
    <row r="609" spans="1:157" ht="13" customHeight="1">
      <c r="A609" s="55" t="s">
        <v>362</v>
      </c>
      <c r="B609" t="s">
        <v>471</v>
      </c>
      <c r="G609" s="1455">
        <f>C564</f>
        <v>0</v>
      </c>
      <c r="H609" s="1455"/>
      <c r="I609" s="1455"/>
      <c r="J609" s="1455"/>
      <c r="K609" s="1455"/>
      <c r="L609" s="1455"/>
      <c r="M609" s="1455"/>
      <c r="N609" s="1455"/>
      <c r="O609" s="1455"/>
      <c r="P609" s="1455"/>
      <c r="Q609" s="1455"/>
      <c r="R609" s="1455"/>
      <c r="T609" s="55" t="s">
        <v>363</v>
      </c>
      <c r="U609" t="s">
        <v>471</v>
      </c>
      <c r="Z609" s="1455">
        <f>C565</f>
        <v>0</v>
      </c>
      <c r="AA609" s="1455"/>
      <c r="AB609" s="1455"/>
      <c r="AC609" s="1455"/>
      <c r="AD609" s="1455"/>
      <c r="AE609" s="1455"/>
      <c r="AF609" s="1455"/>
      <c r="AG609" s="1455"/>
      <c r="AH609" s="1455"/>
      <c r="AI609" s="1455"/>
      <c r="AJ609" s="1455"/>
      <c r="AK609" s="1455"/>
      <c r="AZ609" s="3"/>
      <c r="BA609" s="3"/>
      <c r="BB609" s="3"/>
      <c r="BC609" s="3"/>
      <c r="BD609" s="3"/>
      <c r="BE609" s="1523">
        <f t="shared" si="1"/>
        <v>0</v>
      </c>
      <c r="BF609" s="1525"/>
      <c r="BG609" s="1531">
        <f t="shared" si="2"/>
        <v>0</v>
      </c>
      <c r="BH609" s="1532"/>
      <c r="BI609" s="1523">
        <f t="shared" si="3"/>
        <v>0</v>
      </c>
      <c r="BJ609" s="1525"/>
      <c r="BK609" s="1531">
        <f t="shared" si="4"/>
        <v>0</v>
      </c>
      <c r="BL609" s="1532"/>
      <c r="BM609" s="3"/>
      <c r="BN609" s="1517">
        <f t="shared" si="5"/>
        <v>0</v>
      </c>
      <c r="BO609" s="1518"/>
      <c r="BP609" s="1518"/>
      <c r="BQ609" s="1518"/>
      <c r="BR609" s="1519"/>
      <c r="BS609" s="1526">
        <f t="shared" si="6"/>
        <v>8</v>
      </c>
      <c r="BT609" s="1526"/>
      <c r="BU609" s="1526"/>
      <c r="BV609" s="1526"/>
      <c r="BW609" s="1526"/>
      <c r="BX609" s="1526">
        <f t="shared" si="7"/>
        <v>0</v>
      </c>
      <c r="BY609" s="1526"/>
      <c r="BZ609" s="1526"/>
      <c r="CA609" s="1526"/>
      <c r="CB609" s="1526"/>
      <c r="CC609" s="1526">
        <f t="shared" si="8"/>
        <v>0</v>
      </c>
      <c r="CD609" s="1526"/>
      <c r="CE609" s="1526"/>
      <c r="CF609" s="1526"/>
      <c r="CG609" s="1526"/>
      <c r="CH609" s="1526">
        <f t="shared" si="9"/>
        <v>0</v>
      </c>
      <c r="CI609" s="1526"/>
      <c r="CJ609" s="1526"/>
      <c r="CK609" s="1526"/>
      <c r="CL609" s="1526"/>
      <c r="CM609" s="1526">
        <f t="shared" si="10"/>
        <v>0</v>
      </c>
      <c r="CN609" s="1526"/>
      <c r="CO609" s="1526"/>
      <c r="CP609" s="1526"/>
      <c r="CQ609" s="1526"/>
      <c r="CR609" s="6"/>
      <c r="CS609" s="1528">
        <f t="shared" si="11"/>
        <v>0</v>
      </c>
      <c r="CT609" s="1528"/>
      <c r="CU609" s="1528"/>
      <c r="CV609" s="1528"/>
      <c r="CW609" s="1528"/>
      <c r="CX609" s="1528">
        <f t="shared" si="12"/>
        <v>0</v>
      </c>
      <c r="CY609" s="1528"/>
      <c r="CZ609" s="1528"/>
      <c r="DA609" s="1528"/>
      <c r="DB609" s="1528"/>
      <c r="DC609" s="1528">
        <f t="shared" si="13"/>
        <v>0</v>
      </c>
      <c r="DD609" s="1528"/>
      <c r="DE609" s="1528"/>
      <c r="DF609" s="1528"/>
      <c r="DG609" s="1528"/>
      <c r="DH609" s="1528">
        <f t="shared" si="14"/>
        <v>0</v>
      </c>
      <c r="DI609" s="1528"/>
      <c r="DJ609" s="1528"/>
      <c r="DK609" s="1528"/>
      <c r="DL609" s="1528"/>
      <c r="DM609" s="1528">
        <f t="shared" si="15"/>
        <v>0</v>
      </c>
      <c r="DN609" s="1528"/>
      <c r="DO609" s="1528"/>
      <c r="DP609" s="1528"/>
      <c r="DQ609" s="1528"/>
      <c r="DR609" s="1528">
        <f t="shared" si="16"/>
        <v>0</v>
      </c>
      <c r="DS609" s="1528"/>
      <c r="DT609" s="1528"/>
      <c r="DU609" s="1528"/>
      <c r="DV609" s="1528"/>
      <c r="DX609" s="1523" t="str">
        <f t="shared" si="17"/>
        <v/>
      </c>
      <c r="DY609" s="1524"/>
      <c r="DZ609" s="1524"/>
      <c r="EA609" s="1524"/>
      <c r="EB609" s="1525"/>
      <c r="EC609" s="1523">
        <f t="shared" si="18"/>
        <v>1848</v>
      </c>
      <c r="ED609" s="1524"/>
      <c r="EE609" s="1524"/>
      <c r="EF609" s="1524"/>
      <c r="EG609" s="1525"/>
      <c r="EH609" s="1523" t="str">
        <f t="shared" si="19"/>
        <v/>
      </c>
      <c r="EI609" s="1524"/>
      <c r="EJ609" s="1524"/>
      <c r="EK609" s="1524"/>
      <c r="EL609" s="1525"/>
      <c r="EM609" s="1523" t="str">
        <f t="shared" si="20"/>
        <v/>
      </c>
      <c r="EN609" s="1524"/>
      <c r="EO609" s="1524"/>
      <c r="EP609" s="1524"/>
      <c r="EQ609" s="1525"/>
      <c r="ER609" s="1523" t="str">
        <f t="shared" si="21"/>
        <v/>
      </c>
      <c r="ES609" s="1524"/>
      <c r="ET609" s="1524"/>
      <c r="EU609" s="1524"/>
      <c r="EV609" s="1525"/>
      <c r="EW609" s="1523" t="str">
        <f t="shared" si="22"/>
        <v/>
      </c>
      <c r="EX609" s="1524"/>
      <c r="EY609" s="1524"/>
      <c r="EZ609" s="1524"/>
      <c r="FA609" s="1525"/>
    </row>
    <row r="610" spans="1:157" ht="13" customHeight="1">
      <c r="B610" t="s">
        <v>85</v>
      </c>
      <c r="G610" s="1475"/>
      <c r="H610" s="1475"/>
      <c r="I610" s="1475"/>
      <c r="J610" s="1475"/>
      <c r="K610" s="1475"/>
      <c r="L610" s="1475"/>
      <c r="M610" s="1475"/>
      <c r="N610" s="1475"/>
      <c r="O610" s="1475"/>
      <c r="P610" s="1475"/>
      <c r="Q610" s="1475"/>
      <c r="R610" s="1475"/>
      <c r="U610" t="s">
        <v>85</v>
      </c>
      <c r="Z610" s="1475"/>
      <c r="AA610" s="1475"/>
      <c r="AB610" s="1475"/>
      <c r="AC610" s="1475"/>
      <c r="AD610" s="1475"/>
      <c r="AE610" s="1475"/>
      <c r="AF610" s="1475"/>
      <c r="AG610" s="1475"/>
      <c r="AH610" s="1475"/>
      <c r="AI610" s="1475"/>
      <c r="AJ610" s="1475"/>
      <c r="AK610" s="1475"/>
      <c r="AZ610" s="3"/>
      <c r="BA610" s="3"/>
      <c r="BB610" s="3"/>
      <c r="BC610" s="3"/>
      <c r="BD610" s="3"/>
      <c r="BE610" s="1523">
        <f t="shared" si="1"/>
        <v>0</v>
      </c>
      <c r="BF610" s="1525"/>
      <c r="BG610" s="1531">
        <f t="shared" si="2"/>
        <v>0</v>
      </c>
      <c r="BH610" s="1532"/>
      <c r="BI610" s="1523">
        <f t="shared" si="3"/>
        <v>0</v>
      </c>
      <c r="BJ610" s="1525"/>
      <c r="BK610" s="1531">
        <f t="shared" si="4"/>
        <v>0</v>
      </c>
      <c r="BL610" s="1532"/>
      <c r="BM610" s="3"/>
      <c r="BN610" s="1517">
        <f t="shared" si="5"/>
        <v>0</v>
      </c>
      <c r="BO610" s="1518"/>
      <c r="BP610" s="1518"/>
      <c r="BQ610" s="1518"/>
      <c r="BR610" s="1519"/>
      <c r="BS610" s="1526">
        <f t="shared" si="6"/>
        <v>0</v>
      </c>
      <c r="BT610" s="1526"/>
      <c r="BU610" s="1526"/>
      <c r="BV610" s="1526"/>
      <c r="BW610" s="1526"/>
      <c r="BX610" s="1526">
        <f t="shared" si="7"/>
        <v>3</v>
      </c>
      <c r="BY610" s="1526"/>
      <c r="BZ610" s="1526"/>
      <c r="CA610" s="1526"/>
      <c r="CB610" s="1526"/>
      <c r="CC610" s="1526">
        <f t="shared" si="8"/>
        <v>0</v>
      </c>
      <c r="CD610" s="1526"/>
      <c r="CE610" s="1526"/>
      <c r="CF610" s="1526"/>
      <c r="CG610" s="1526"/>
      <c r="CH610" s="1526">
        <f t="shared" si="9"/>
        <v>0</v>
      </c>
      <c r="CI610" s="1526"/>
      <c r="CJ610" s="1526"/>
      <c r="CK610" s="1526"/>
      <c r="CL610" s="1526"/>
      <c r="CM610" s="1526">
        <f t="shared" si="10"/>
        <v>0</v>
      </c>
      <c r="CN610" s="1526"/>
      <c r="CO610" s="1526"/>
      <c r="CP610" s="1526"/>
      <c r="CQ610" s="1526"/>
      <c r="CR610" s="6"/>
      <c r="CS610" s="1528">
        <f t="shared" si="11"/>
        <v>0</v>
      </c>
      <c r="CT610" s="1528"/>
      <c r="CU610" s="1528"/>
      <c r="CV610" s="1528"/>
      <c r="CW610" s="1528"/>
      <c r="CX610" s="1528">
        <f t="shared" si="12"/>
        <v>0</v>
      </c>
      <c r="CY610" s="1528"/>
      <c r="CZ610" s="1528"/>
      <c r="DA610" s="1528"/>
      <c r="DB610" s="1528"/>
      <c r="DC610" s="1528">
        <f t="shared" si="13"/>
        <v>0</v>
      </c>
      <c r="DD610" s="1528"/>
      <c r="DE610" s="1528"/>
      <c r="DF610" s="1528"/>
      <c r="DG610" s="1528"/>
      <c r="DH610" s="1528">
        <f t="shared" si="14"/>
        <v>0</v>
      </c>
      <c r="DI610" s="1528"/>
      <c r="DJ610" s="1528"/>
      <c r="DK610" s="1528"/>
      <c r="DL610" s="1528"/>
      <c r="DM610" s="1528">
        <f t="shared" si="15"/>
        <v>0</v>
      </c>
      <c r="DN610" s="1528"/>
      <c r="DO610" s="1528"/>
      <c r="DP610" s="1528"/>
      <c r="DQ610" s="1528"/>
      <c r="DR610" s="1528">
        <f t="shared" si="16"/>
        <v>0</v>
      </c>
      <c r="DS610" s="1528"/>
      <c r="DT610" s="1528"/>
      <c r="DU610" s="1528"/>
      <c r="DV610" s="1528"/>
      <c r="DX610" s="1523" t="str">
        <f t="shared" si="17"/>
        <v/>
      </c>
      <c r="DY610" s="1524"/>
      <c r="DZ610" s="1524"/>
      <c r="EA610" s="1524"/>
      <c r="EB610" s="1525"/>
      <c r="EC610" s="1523" t="str">
        <f t="shared" si="18"/>
        <v/>
      </c>
      <c r="ED610" s="1524"/>
      <c r="EE610" s="1524"/>
      <c r="EF610" s="1524"/>
      <c r="EG610" s="1525"/>
      <c r="EH610" s="1523">
        <f t="shared" si="19"/>
        <v>1931</v>
      </c>
      <c r="EI610" s="1524"/>
      <c r="EJ610" s="1524"/>
      <c r="EK610" s="1524"/>
      <c r="EL610" s="1525"/>
      <c r="EM610" s="1523" t="str">
        <f t="shared" si="20"/>
        <v/>
      </c>
      <c r="EN610" s="1524"/>
      <c r="EO610" s="1524"/>
      <c r="EP610" s="1524"/>
      <c r="EQ610" s="1525"/>
      <c r="ER610" s="1523" t="str">
        <f t="shared" si="21"/>
        <v/>
      </c>
      <c r="ES610" s="1524"/>
      <c r="ET610" s="1524"/>
      <c r="EU610" s="1524"/>
      <c r="EV610" s="1525"/>
      <c r="EW610" s="1523" t="str">
        <f t="shared" si="22"/>
        <v/>
      </c>
      <c r="EX610" s="1524"/>
      <c r="EY610" s="1524"/>
      <c r="EZ610" s="1524"/>
      <c r="FA610" s="1525"/>
    </row>
    <row r="611" spans="1:157" ht="13" customHeight="1">
      <c r="B611" t="s">
        <v>588</v>
      </c>
      <c r="G611" s="1475"/>
      <c r="H611" s="1475"/>
      <c r="I611" s="1475"/>
      <c r="J611" s="1475"/>
      <c r="K611" s="1475"/>
      <c r="L611" s="1475"/>
      <c r="M611" s="1475"/>
      <c r="N611" s="1475"/>
      <c r="O611" s="1475"/>
      <c r="P611" s="1475"/>
      <c r="Q611" s="1475"/>
      <c r="R611" s="1475"/>
      <c r="U611" t="s">
        <v>588</v>
      </c>
      <c r="Z611" s="1471"/>
      <c r="AA611" s="1471"/>
      <c r="AB611" s="1471"/>
      <c r="AC611" s="1471"/>
      <c r="AD611" s="1471"/>
      <c r="AE611" s="1471"/>
      <c r="AF611" s="1471"/>
      <c r="AG611" s="1471"/>
      <c r="AH611" s="1471"/>
      <c r="AI611" s="1471"/>
      <c r="AJ611" s="1471"/>
      <c r="AK611" s="1471"/>
      <c r="AZ611" s="3"/>
      <c r="BA611" s="3"/>
      <c r="BB611" s="3"/>
      <c r="BC611" s="3"/>
      <c r="BD611" s="3"/>
      <c r="BE611" s="1523">
        <f t="shared" si="1"/>
        <v>0</v>
      </c>
      <c r="BF611" s="1525"/>
      <c r="BG611" s="1531">
        <f t="shared" si="2"/>
        <v>0</v>
      </c>
      <c r="BH611" s="1532"/>
      <c r="BI611" s="1523">
        <f t="shared" si="3"/>
        <v>0</v>
      </c>
      <c r="BJ611" s="1525"/>
      <c r="BK611" s="1531">
        <f t="shared" si="4"/>
        <v>0</v>
      </c>
      <c r="BL611" s="1532"/>
      <c r="BM611" s="3"/>
      <c r="BN611" s="1517">
        <f t="shared" si="5"/>
        <v>0</v>
      </c>
      <c r="BO611" s="1518"/>
      <c r="BP611" s="1518"/>
      <c r="BQ611" s="1518"/>
      <c r="BR611" s="1519"/>
      <c r="BS611" s="1526">
        <f t="shared" si="6"/>
        <v>0</v>
      </c>
      <c r="BT611" s="1526"/>
      <c r="BU611" s="1526"/>
      <c r="BV611" s="1526"/>
      <c r="BW611" s="1526"/>
      <c r="BX611" s="1526">
        <f t="shared" si="7"/>
        <v>0</v>
      </c>
      <c r="BY611" s="1526"/>
      <c r="BZ611" s="1526"/>
      <c r="CA611" s="1526"/>
      <c r="CB611" s="1526"/>
      <c r="CC611" s="1526">
        <f t="shared" si="8"/>
        <v>4</v>
      </c>
      <c r="CD611" s="1526"/>
      <c r="CE611" s="1526"/>
      <c r="CF611" s="1526"/>
      <c r="CG611" s="1526"/>
      <c r="CH611" s="1526">
        <f t="shared" si="9"/>
        <v>0</v>
      </c>
      <c r="CI611" s="1526"/>
      <c r="CJ611" s="1526"/>
      <c r="CK611" s="1526"/>
      <c r="CL611" s="1526"/>
      <c r="CM611" s="1526">
        <f t="shared" si="10"/>
        <v>0</v>
      </c>
      <c r="CN611" s="1526"/>
      <c r="CO611" s="1526"/>
      <c r="CP611" s="1526"/>
      <c r="CQ611" s="1526"/>
      <c r="CR611" s="6"/>
      <c r="CS611" s="1528">
        <f t="shared" si="11"/>
        <v>0</v>
      </c>
      <c r="CT611" s="1528"/>
      <c r="CU611" s="1528"/>
      <c r="CV611" s="1528"/>
      <c r="CW611" s="1528"/>
      <c r="CX611" s="1528">
        <f t="shared" si="12"/>
        <v>0</v>
      </c>
      <c r="CY611" s="1528"/>
      <c r="CZ611" s="1528"/>
      <c r="DA611" s="1528"/>
      <c r="DB611" s="1528"/>
      <c r="DC611" s="1528">
        <f t="shared" si="13"/>
        <v>0</v>
      </c>
      <c r="DD611" s="1528"/>
      <c r="DE611" s="1528"/>
      <c r="DF611" s="1528"/>
      <c r="DG611" s="1528"/>
      <c r="DH611" s="1528">
        <f t="shared" si="14"/>
        <v>0</v>
      </c>
      <c r="DI611" s="1528"/>
      <c r="DJ611" s="1528"/>
      <c r="DK611" s="1528"/>
      <c r="DL611" s="1528"/>
      <c r="DM611" s="1528">
        <f t="shared" si="15"/>
        <v>0</v>
      </c>
      <c r="DN611" s="1528"/>
      <c r="DO611" s="1528"/>
      <c r="DP611" s="1528"/>
      <c r="DQ611" s="1528"/>
      <c r="DR611" s="1528">
        <f t="shared" si="16"/>
        <v>0</v>
      </c>
      <c r="DS611" s="1528"/>
      <c r="DT611" s="1528"/>
      <c r="DU611" s="1528"/>
      <c r="DV611" s="1528"/>
      <c r="DX611" s="1523" t="str">
        <f t="shared" si="17"/>
        <v/>
      </c>
      <c r="DY611" s="1524"/>
      <c r="DZ611" s="1524"/>
      <c r="EA611" s="1524"/>
      <c r="EB611" s="1525"/>
      <c r="EC611" s="1523" t="str">
        <f t="shared" si="18"/>
        <v/>
      </c>
      <c r="ED611" s="1524"/>
      <c r="EE611" s="1524"/>
      <c r="EF611" s="1524"/>
      <c r="EG611" s="1525"/>
      <c r="EH611" s="1523" t="str">
        <f t="shared" si="19"/>
        <v/>
      </c>
      <c r="EI611" s="1524"/>
      <c r="EJ611" s="1524"/>
      <c r="EK611" s="1524"/>
      <c r="EL611" s="1525"/>
      <c r="EM611" s="1523">
        <f t="shared" si="20"/>
        <v>2553</v>
      </c>
      <c r="EN611" s="1524"/>
      <c r="EO611" s="1524"/>
      <c r="EP611" s="1524"/>
      <c r="EQ611" s="1525"/>
      <c r="ER611" s="1523" t="str">
        <f t="shared" si="21"/>
        <v/>
      </c>
      <c r="ES611" s="1524"/>
      <c r="ET611" s="1524"/>
      <c r="EU611" s="1524"/>
      <c r="EV611" s="1525"/>
      <c r="EW611" s="1523" t="str">
        <f t="shared" si="22"/>
        <v/>
      </c>
      <c r="EX611" s="1524"/>
      <c r="EY611" s="1524"/>
      <c r="EZ611" s="1524"/>
      <c r="FA611" s="1525"/>
    </row>
    <row r="612" spans="1:157" ht="13" customHeight="1">
      <c r="B612" t="s">
        <v>17</v>
      </c>
      <c r="G612" s="1475"/>
      <c r="H612" s="1475"/>
      <c r="I612" s="1475"/>
      <c r="J612" s="1475"/>
      <c r="K612" s="1475"/>
      <c r="L612" s="1475"/>
      <c r="M612" s="1475"/>
      <c r="N612" s="1475"/>
      <c r="O612" s="1475"/>
      <c r="P612" s="1475"/>
      <c r="Q612" s="1475"/>
      <c r="R612" s="1475"/>
      <c r="U612" t="s">
        <v>17</v>
      </c>
      <c r="Z612" s="1471"/>
      <c r="AA612" s="1471"/>
      <c r="AB612" s="1471"/>
      <c r="AC612" s="1471"/>
      <c r="AD612" s="1471"/>
      <c r="AE612" s="1471"/>
      <c r="AF612" s="1471"/>
      <c r="AG612" s="1471"/>
      <c r="AH612" s="1471"/>
      <c r="AI612" s="1471"/>
      <c r="AJ612" s="1471"/>
      <c r="AK612" s="1471"/>
      <c r="AZ612" s="3"/>
      <c r="BA612" s="3"/>
      <c r="BB612" s="3"/>
      <c r="BC612" s="3"/>
      <c r="BD612" s="3"/>
      <c r="BE612" s="1523">
        <f t="shared" si="1"/>
        <v>0</v>
      </c>
      <c r="BF612" s="1525"/>
      <c r="BG612" s="1531">
        <f t="shared" si="2"/>
        <v>0</v>
      </c>
      <c r="BH612" s="1532"/>
      <c r="BI612" s="1523">
        <f t="shared" si="3"/>
        <v>0</v>
      </c>
      <c r="BJ612" s="1525"/>
      <c r="BK612" s="1531">
        <f t="shared" si="4"/>
        <v>0</v>
      </c>
      <c r="BL612" s="1532"/>
      <c r="BM612" s="3"/>
      <c r="BN612" s="1517">
        <f t="shared" si="5"/>
        <v>0</v>
      </c>
      <c r="BO612" s="1518"/>
      <c r="BP612" s="1518"/>
      <c r="BQ612" s="1518"/>
      <c r="BR612" s="1519"/>
      <c r="BS612" s="1526">
        <f t="shared" si="6"/>
        <v>0</v>
      </c>
      <c r="BT612" s="1526"/>
      <c r="BU612" s="1526"/>
      <c r="BV612" s="1526"/>
      <c r="BW612" s="1526"/>
      <c r="BX612" s="1526">
        <f t="shared" si="7"/>
        <v>0</v>
      </c>
      <c r="BY612" s="1526"/>
      <c r="BZ612" s="1526"/>
      <c r="CA612" s="1526"/>
      <c r="CB612" s="1526"/>
      <c r="CC612" s="1526">
        <f t="shared" si="8"/>
        <v>0</v>
      </c>
      <c r="CD612" s="1526"/>
      <c r="CE612" s="1526"/>
      <c r="CF612" s="1526"/>
      <c r="CG612" s="1526"/>
      <c r="CH612" s="1526">
        <f t="shared" si="9"/>
        <v>0</v>
      </c>
      <c r="CI612" s="1526"/>
      <c r="CJ612" s="1526"/>
      <c r="CK612" s="1526"/>
      <c r="CL612" s="1526"/>
      <c r="CM612" s="1526">
        <f t="shared" si="10"/>
        <v>0</v>
      </c>
      <c r="CN612" s="1526"/>
      <c r="CO612" s="1526"/>
      <c r="CP612" s="1526"/>
      <c r="CQ612" s="1526"/>
      <c r="CR612" s="6"/>
      <c r="CS612" s="1528">
        <f t="shared" si="11"/>
        <v>0</v>
      </c>
      <c r="CT612" s="1528"/>
      <c r="CU612" s="1528"/>
      <c r="CV612" s="1528"/>
      <c r="CW612" s="1528"/>
      <c r="CX612" s="1528">
        <f t="shared" si="12"/>
        <v>0</v>
      </c>
      <c r="CY612" s="1528"/>
      <c r="CZ612" s="1528"/>
      <c r="DA612" s="1528"/>
      <c r="DB612" s="1528"/>
      <c r="DC612" s="1528">
        <f t="shared" si="13"/>
        <v>0</v>
      </c>
      <c r="DD612" s="1528"/>
      <c r="DE612" s="1528"/>
      <c r="DF612" s="1528"/>
      <c r="DG612" s="1528"/>
      <c r="DH612" s="1528">
        <f t="shared" si="14"/>
        <v>0</v>
      </c>
      <c r="DI612" s="1528"/>
      <c r="DJ612" s="1528"/>
      <c r="DK612" s="1528"/>
      <c r="DL612" s="1528"/>
      <c r="DM612" s="1528">
        <f t="shared" si="15"/>
        <v>0</v>
      </c>
      <c r="DN612" s="1528"/>
      <c r="DO612" s="1528"/>
      <c r="DP612" s="1528"/>
      <c r="DQ612" s="1528"/>
      <c r="DR612" s="1528">
        <f t="shared" si="16"/>
        <v>0</v>
      </c>
      <c r="DS612" s="1528"/>
      <c r="DT612" s="1528"/>
      <c r="DU612" s="1528"/>
      <c r="DV612" s="1528"/>
      <c r="DX612" s="1523" t="str">
        <f t="shared" si="17"/>
        <v/>
      </c>
      <c r="DY612" s="1524"/>
      <c r="DZ612" s="1524"/>
      <c r="EA612" s="1524"/>
      <c r="EB612" s="1525"/>
      <c r="EC612" s="1523" t="str">
        <f t="shared" si="18"/>
        <v/>
      </c>
      <c r="ED612" s="1524"/>
      <c r="EE612" s="1524"/>
      <c r="EF612" s="1524"/>
      <c r="EG612" s="1525"/>
      <c r="EH612" s="1523" t="str">
        <f t="shared" si="19"/>
        <v/>
      </c>
      <c r="EI612" s="1524"/>
      <c r="EJ612" s="1524"/>
      <c r="EK612" s="1524"/>
      <c r="EL612" s="1525"/>
      <c r="EM612" s="1523" t="str">
        <f t="shared" si="20"/>
        <v/>
      </c>
      <c r="EN612" s="1524"/>
      <c r="EO612" s="1524"/>
      <c r="EP612" s="1524"/>
      <c r="EQ612" s="1525"/>
      <c r="ER612" s="1523" t="str">
        <f t="shared" si="21"/>
        <v/>
      </c>
      <c r="ES612" s="1524"/>
      <c r="ET612" s="1524"/>
      <c r="EU612" s="1524"/>
      <c r="EV612" s="1525"/>
      <c r="EW612" s="1523" t="str">
        <f t="shared" si="22"/>
        <v/>
      </c>
      <c r="EX612" s="1524"/>
      <c r="EY612" s="1524"/>
      <c r="EZ612" s="1524"/>
      <c r="FA612" s="1525"/>
    </row>
    <row r="613" spans="1:157" ht="13" customHeight="1">
      <c r="B613" t="s">
        <v>316</v>
      </c>
      <c r="G613" s="1474"/>
      <c r="H613" s="1474"/>
      <c r="I613" s="1474"/>
      <c r="J613" s="1474"/>
      <c r="K613" s="1474"/>
      <c r="L613" s="1474"/>
      <c r="O613" s="33" t="s">
        <v>206</v>
      </c>
      <c r="P613" s="1476"/>
      <c r="Q613" s="1476"/>
      <c r="R613" s="1476"/>
      <c r="U613" t="s">
        <v>316</v>
      </c>
      <c r="Z613" s="1474"/>
      <c r="AA613" s="1474"/>
      <c r="AB613" s="1474"/>
      <c r="AC613" s="1474"/>
      <c r="AD613" s="1474"/>
      <c r="AE613" s="1474"/>
      <c r="AH613" s="33" t="s">
        <v>206</v>
      </c>
      <c r="AI613" s="1476"/>
      <c r="AJ613" s="1476"/>
      <c r="AK613" s="1476"/>
      <c r="AZ613" s="3"/>
      <c r="BA613" s="3"/>
      <c r="BB613" s="3"/>
      <c r="BC613" s="3"/>
      <c r="BD613" s="3"/>
      <c r="BE613" s="1523">
        <f t="shared" si="1"/>
        <v>0</v>
      </c>
      <c r="BF613" s="1525"/>
      <c r="BG613" s="1531">
        <f t="shared" si="2"/>
        <v>0</v>
      </c>
      <c r="BH613" s="1532"/>
      <c r="BI613" s="1523">
        <f t="shared" si="3"/>
        <v>0</v>
      </c>
      <c r="BJ613" s="1525"/>
      <c r="BK613" s="1531">
        <f t="shared" si="4"/>
        <v>0</v>
      </c>
      <c r="BL613" s="1532"/>
      <c r="BM613" s="3"/>
      <c r="BN613" s="1517">
        <f t="shared" si="5"/>
        <v>0</v>
      </c>
      <c r="BO613" s="1518"/>
      <c r="BP613" s="1518"/>
      <c r="BQ613" s="1518"/>
      <c r="BR613" s="1519"/>
      <c r="BS613" s="1526">
        <f t="shared" si="6"/>
        <v>0</v>
      </c>
      <c r="BT613" s="1526"/>
      <c r="BU613" s="1526"/>
      <c r="BV613" s="1526"/>
      <c r="BW613" s="1526"/>
      <c r="BX613" s="1526">
        <f t="shared" si="7"/>
        <v>0</v>
      </c>
      <c r="BY613" s="1526"/>
      <c r="BZ613" s="1526"/>
      <c r="CA613" s="1526"/>
      <c r="CB613" s="1526"/>
      <c r="CC613" s="1526">
        <f t="shared" si="8"/>
        <v>0</v>
      </c>
      <c r="CD613" s="1526"/>
      <c r="CE613" s="1526"/>
      <c r="CF613" s="1526"/>
      <c r="CG613" s="1526"/>
      <c r="CH613" s="1526">
        <f t="shared" si="9"/>
        <v>0</v>
      </c>
      <c r="CI613" s="1526"/>
      <c r="CJ613" s="1526"/>
      <c r="CK613" s="1526"/>
      <c r="CL613" s="1526"/>
      <c r="CM613" s="1526">
        <f t="shared" si="10"/>
        <v>0</v>
      </c>
      <c r="CN613" s="1526"/>
      <c r="CO613" s="1526"/>
      <c r="CP613" s="1526"/>
      <c r="CQ613" s="1526"/>
      <c r="CR613" s="6"/>
      <c r="CS613" s="1528">
        <f t="shared" si="11"/>
        <v>0</v>
      </c>
      <c r="CT613" s="1528"/>
      <c r="CU613" s="1528"/>
      <c r="CV613" s="1528"/>
      <c r="CW613" s="1528"/>
      <c r="CX613" s="1528">
        <f t="shared" si="12"/>
        <v>0</v>
      </c>
      <c r="CY613" s="1528"/>
      <c r="CZ613" s="1528"/>
      <c r="DA613" s="1528"/>
      <c r="DB613" s="1528"/>
      <c r="DC613" s="1528">
        <f t="shared" si="13"/>
        <v>0</v>
      </c>
      <c r="DD613" s="1528"/>
      <c r="DE613" s="1528"/>
      <c r="DF613" s="1528"/>
      <c r="DG613" s="1528"/>
      <c r="DH613" s="1528">
        <f t="shared" si="14"/>
        <v>0</v>
      </c>
      <c r="DI613" s="1528"/>
      <c r="DJ613" s="1528"/>
      <c r="DK613" s="1528"/>
      <c r="DL613" s="1528"/>
      <c r="DM613" s="1528">
        <f t="shared" si="15"/>
        <v>0</v>
      </c>
      <c r="DN613" s="1528"/>
      <c r="DO613" s="1528"/>
      <c r="DP613" s="1528"/>
      <c r="DQ613" s="1528"/>
      <c r="DR613" s="1528">
        <f t="shared" si="16"/>
        <v>0</v>
      </c>
      <c r="DS613" s="1528"/>
      <c r="DT613" s="1528"/>
      <c r="DU613" s="1528"/>
      <c r="DV613" s="1528"/>
      <c r="DX613" s="1523" t="str">
        <f t="shared" si="17"/>
        <v/>
      </c>
      <c r="DY613" s="1524"/>
      <c r="DZ613" s="1524"/>
      <c r="EA613" s="1524"/>
      <c r="EB613" s="1525"/>
      <c r="EC613" s="1523" t="str">
        <f t="shared" si="18"/>
        <v/>
      </c>
      <c r="ED613" s="1524"/>
      <c r="EE613" s="1524"/>
      <c r="EF613" s="1524"/>
      <c r="EG613" s="1525"/>
      <c r="EH613" s="1523" t="str">
        <f t="shared" si="19"/>
        <v/>
      </c>
      <c r="EI613" s="1524"/>
      <c r="EJ613" s="1524"/>
      <c r="EK613" s="1524"/>
      <c r="EL613" s="1525"/>
      <c r="EM613" s="1523" t="str">
        <f t="shared" si="20"/>
        <v/>
      </c>
      <c r="EN613" s="1524"/>
      <c r="EO613" s="1524"/>
      <c r="EP613" s="1524"/>
      <c r="EQ613" s="1525"/>
      <c r="ER613" s="1523" t="str">
        <f t="shared" si="21"/>
        <v/>
      </c>
      <c r="ES613" s="1524"/>
      <c r="ET613" s="1524"/>
      <c r="EU613" s="1524"/>
      <c r="EV613" s="1525"/>
      <c r="EW613" s="1523" t="str">
        <f t="shared" si="22"/>
        <v/>
      </c>
      <c r="EX613" s="1524"/>
      <c r="EY613" s="1524"/>
      <c r="EZ613" s="1524"/>
      <c r="FA613" s="1525"/>
    </row>
    <row r="614" spans="1:157" ht="13" customHeight="1">
      <c r="B614" t="s">
        <v>18</v>
      </c>
      <c r="H614" s="1475"/>
      <c r="I614" s="1475"/>
      <c r="J614" s="1475"/>
      <c r="K614" s="1475"/>
      <c r="L614" s="1475"/>
      <c r="M614" s="1475"/>
      <c r="N614" s="1475"/>
      <c r="O614" s="1475"/>
      <c r="P614" s="1475"/>
      <c r="Q614" s="1475"/>
      <c r="R614" s="1475"/>
      <c r="U614" t="s">
        <v>18</v>
      </c>
      <c r="AA614" s="1475"/>
      <c r="AB614" s="1475"/>
      <c r="AC614" s="1475"/>
      <c r="AD614" s="1475"/>
      <c r="AE614" s="1475"/>
      <c r="AF614" s="1475"/>
      <c r="AG614" s="1475"/>
      <c r="AH614" s="1475"/>
      <c r="AI614" s="1475"/>
      <c r="AJ614" s="1475"/>
      <c r="AK614" s="1475"/>
      <c r="AU614" s="934"/>
      <c r="AV614" s="934"/>
      <c r="AW614" s="934"/>
      <c r="AX614" s="934"/>
      <c r="AY614" s="934"/>
      <c r="AZ614" s="3"/>
      <c r="BA614" s="3"/>
      <c r="BB614" s="3"/>
      <c r="BC614" s="3"/>
      <c r="BD614" s="3"/>
      <c r="BE614" s="1523">
        <f t="shared" si="1"/>
        <v>0</v>
      </c>
      <c r="BF614" s="1525"/>
      <c r="BG614" s="1531">
        <f t="shared" si="2"/>
        <v>0</v>
      </c>
      <c r="BH614" s="1532"/>
      <c r="BI614" s="1523">
        <f t="shared" si="3"/>
        <v>0</v>
      </c>
      <c r="BJ614" s="1525"/>
      <c r="BK614" s="1531">
        <f t="shared" si="4"/>
        <v>0</v>
      </c>
      <c r="BL614" s="1532"/>
      <c r="BM614" s="3"/>
      <c r="BN614" s="1517">
        <f t="shared" si="5"/>
        <v>0</v>
      </c>
      <c r="BO614" s="1518"/>
      <c r="BP614" s="1518"/>
      <c r="BQ614" s="1518"/>
      <c r="BR614" s="1519"/>
      <c r="BS614" s="1526">
        <f t="shared" si="6"/>
        <v>0</v>
      </c>
      <c r="BT614" s="1526"/>
      <c r="BU614" s="1526"/>
      <c r="BV614" s="1526"/>
      <c r="BW614" s="1526"/>
      <c r="BX614" s="1526">
        <f t="shared" si="7"/>
        <v>0</v>
      </c>
      <c r="BY614" s="1526"/>
      <c r="BZ614" s="1526"/>
      <c r="CA614" s="1526"/>
      <c r="CB614" s="1526"/>
      <c r="CC614" s="1526">
        <f t="shared" si="8"/>
        <v>0</v>
      </c>
      <c r="CD614" s="1526"/>
      <c r="CE614" s="1526"/>
      <c r="CF614" s="1526"/>
      <c r="CG614" s="1526"/>
      <c r="CH614" s="1526">
        <f t="shared" si="9"/>
        <v>0</v>
      </c>
      <c r="CI614" s="1526"/>
      <c r="CJ614" s="1526"/>
      <c r="CK614" s="1526"/>
      <c r="CL614" s="1526"/>
      <c r="CM614" s="1526">
        <f t="shared" si="10"/>
        <v>0</v>
      </c>
      <c r="CN614" s="1526"/>
      <c r="CO614" s="1526"/>
      <c r="CP614" s="1526"/>
      <c r="CQ614" s="1526"/>
      <c r="CR614" s="6"/>
      <c r="CS614" s="1528">
        <f t="shared" si="11"/>
        <v>0</v>
      </c>
      <c r="CT614" s="1528"/>
      <c r="CU614" s="1528"/>
      <c r="CV614" s="1528"/>
      <c r="CW614" s="1528"/>
      <c r="CX614" s="1528">
        <f t="shared" si="12"/>
        <v>0</v>
      </c>
      <c r="CY614" s="1528"/>
      <c r="CZ614" s="1528"/>
      <c r="DA614" s="1528"/>
      <c r="DB614" s="1528"/>
      <c r="DC614" s="1528">
        <f t="shared" si="13"/>
        <v>0</v>
      </c>
      <c r="DD614" s="1528"/>
      <c r="DE614" s="1528"/>
      <c r="DF614" s="1528"/>
      <c r="DG614" s="1528"/>
      <c r="DH614" s="1528">
        <f t="shared" si="14"/>
        <v>0</v>
      </c>
      <c r="DI614" s="1528"/>
      <c r="DJ614" s="1528"/>
      <c r="DK614" s="1528"/>
      <c r="DL614" s="1528"/>
      <c r="DM614" s="1528">
        <f t="shared" si="15"/>
        <v>0</v>
      </c>
      <c r="DN614" s="1528"/>
      <c r="DO614" s="1528"/>
      <c r="DP614" s="1528"/>
      <c r="DQ614" s="1528"/>
      <c r="DR614" s="1528">
        <f t="shared" si="16"/>
        <v>0</v>
      </c>
      <c r="DS614" s="1528"/>
      <c r="DT614" s="1528"/>
      <c r="DU614" s="1528"/>
      <c r="DV614" s="1528"/>
      <c r="DX614" s="1523" t="str">
        <f t="shared" si="17"/>
        <v/>
      </c>
      <c r="DY614" s="1524"/>
      <c r="DZ614" s="1524"/>
      <c r="EA614" s="1524"/>
      <c r="EB614" s="1525"/>
      <c r="EC614" s="1523" t="str">
        <f t="shared" si="18"/>
        <v/>
      </c>
      <c r="ED614" s="1524"/>
      <c r="EE614" s="1524"/>
      <c r="EF614" s="1524"/>
      <c r="EG614" s="1525"/>
      <c r="EH614" s="1523" t="str">
        <f t="shared" si="19"/>
        <v/>
      </c>
      <c r="EI614" s="1524"/>
      <c r="EJ614" s="1524"/>
      <c r="EK614" s="1524"/>
      <c r="EL614" s="1525"/>
      <c r="EM614" s="1523" t="str">
        <f t="shared" si="20"/>
        <v/>
      </c>
      <c r="EN614" s="1524"/>
      <c r="EO614" s="1524"/>
      <c r="EP614" s="1524"/>
      <c r="EQ614" s="1525"/>
      <c r="ER614" s="1523" t="str">
        <f t="shared" si="21"/>
        <v/>
      </c>
      <c r="ES614" s="1524"/>
      <c r="ET614" s="1524"/>
      <c r="EU614" s="1524"/>
      <c r="EV614" s="1525"/>
      <c r="EW614" s="1523" t="str">
        <f t="shared" si="22"/>
        <v/>
      </c>
      <c r="EX614" s="1524"/>
      <c r="EY614" s="1524"/>
      <c r="EZ614" s="1524"/>
      <c r="FA614" s="1525"/>
    </row>
    <row r="615" spans="1:157" ht="13" customHeight="1">
      <c r="B615" t="s">
        <v>20</v>
      </c>
      <c r="N615" s="1467" t="s">
        <v>677</v>
      </c>
      <c r="O615" s="1467"/>
      <c r="U615" t="s">
        <v>20</v>
      </c>
      <c r="AG615" s="1467" t="s">
        <v>677</v>
      </c>
      <c r="AH615" s="1467"/>
      <c r="AU615" s="934"/>
      <c r="AV615" s="934"/>
      <c r="AW615" s="934"/>
      <c r="AX615" s="934"/>
      <c r="AY615" s="934"/>
      <c r="AZ615" s="3"/>
      <c r="BA615" s="3"/>
      <c r="BB615" s="3"/>
      <c r="BC615" s="3"/>
      <c r="BD615" s="3"/>
      <c r="BE615" s="1523">
        <f t="shared" si="1"/>
        <v>0</v>
      </c>
      <c r="BF615" s="1525"/>
      <c r="BG615" s="1531">
        <f t="shared" si="2"/>
        <v>0</v>
      </c>
      <c r="BH615" s="1532"/>
      <c r="BI615" s="1523">
        <f t="shared" si="3"/>
        <v>0</v>
      </c>
      <c r="BJ615" s="1525"/>
      <c r="BK615" s="1531">
        <f t="shared" si="4"/>
        <v>0</v>
      </c>
      <c r="BL615" s="1532"/>
      <c r="BM615" s="3"/>
      <c r="BN615" s="1517">
        <f t="shared" si="5"/>
        <v>0</v>
      </c>
      <c r="BO615" s="1518"/>
      <c r="BP615" s="1518"/>
      <c r="BQ615" s="1518"/>
      <c r="BR615" s="1519"/>
      <c r="BS615" s="1526">
        <f t="shared" si="6"/>
        <v>0</v>
      </c>
      <c r="BT615" s="1526"/>
      <c r="BU615" s="1526"/>
      <c r="BV615" s="1526"/>
      <c r="BW615" s="1526"/>
      <c r="BX615" s="1526">
        <f t="shared" si="7"/>
        <v>0</v>
      </c>
      <c r="BY615" s="1526"/>
      <c r="BZ615" s="1526"/>
      <c r="CA615" s="1526"/>
      <c r="CB615" s="1526"/>
      <c r="CC615" s="1526">
        <f t="shared" si="8"/>
        <v>0</v>
      </c>
      <c r="CD615" s="1526"/>
      <c r="CE615" s="1526"/>
      <c r="CF615" s="1526"/>
      <c r="CG615" s="1526"/>
      <c r="CH615" s="1526">
        <f t="shared" si="9"/>
        <v>0</v>
      </c>
      <c r="CI615" s="1526"/>
      <c r="CJ615" s="1526"/>
      <c r="CK615" s="1526"/>
      <c r="CL615" s="1526"/>
      <c r="CM615" s="1526">
        <f t="shared" si="10"/>
        <v>0</v>
      </c>
      <c r="CN615" s="1526"/>
      <c r="CO615" s="1526"/>
      <c r="CP615" s="1526"/>
      <c r="CQ615" s="1526"/>
      <c r="CR615" s="6"/>
      <c r="CS615" s="1528">
        <f t="shared" si="11"/>
        <v>0</v>
      </c>
      <c r="CT615" s="1528"/>
      <c r="CU615" s="1528"/>
      <c r="CV615" s="1528"/>
      <c r="CW615" s="1528"/>
      <c r="CX615" s="1528">
        <f t="shared" si="12"/>
        <v>0</v>
      </c>
      <c r="CY615" s="1528"/>
      <c r="CZ615" s="1528"/>
      <c r="DA615" s="1528"/>
      <c r="DB615" s="1528"/>
      <c r="DC615" s="1528">
        <f t="shared" si="13"/>
        <v>0</v>
      </c>
      <c r="DD615" s="1528"/>
      <c r="DE615" s="1528"/>
      <c r="DF615" s="1528"/>
      <c r="DG615" s="1528"/>
      <c r="DH615" s="1528">
        <f t="shared" si="14"/>
        <v>0</v>
      </c>
      <c r="DI615" s="1528"/>
      <c r="DJ615" s="1528"/>
      <c r="DK615" s="1528"/>
      <c r="DL615" s="1528"/>
      <c r="DM615" s="1528">
        <f t="shared" si="15"/>
        <v>0</v>
      </c>
      <c r="DN615" s="1528"/>
      <c r="DO615" s="1528"/>
      <c r="DP615" s="1528"/>
      <c r="DQ615" s="1528"/>
      <c r="DR615" s="1528">
        <f t="shared" si="16"/>
        <v>0</v>
      </c>
      <c r="DS615" s="1528"/>
      <c r="DT615" s="1528"/>
      <c r="DU615" s="1528"/>
      <c r="DV615" s="1528"/>
      <c r="DX615" s="1523" t="str">
        <f t="shared" si="17"/>
        <v/>
      </c>
      <c r="DY615" s="1524"/>
      <c r="DZ615" s="1524"/>
      <c r="EA615" s="1524"/>
      <c r="EB615" s="1525"/>
      <c r="EC615" s="1523" t="str">
        <f t="shared" si="18"/>
        <v/>
      </c>
      <c r="ED615" s="1524"/>
      <c r="EE615" s="1524"/>
      <c r="EF615" s="1524"/>
      <c r="EG615" s="1525"/>
      <c r="EH615" s="1523" t="str">
        <f t="shared" si="19"/>
        <v/>
      </c>
      <c r="EI615" s="1524"/>
      <c r="EJ615" s="1524"/>
      <c r="EK615" s="1524"/>
      <c r="EL615" s="1525"/>
      <c r="EM615" s="1523" t="str">
        <f t="shared" si="20"/>
        <v/>
      </c>
      <c r="EN615" s="1524"/>
      <c r="EO615" s="1524"/>
      <c r="EP615" s="1524"/>
      <c r="EQ615" s="1525"/>
      <c r="ER615" s="1523" t="str">
        <f t="shared" si="21"/>
        <v/>
      </c>
      <c r="ES615" s="1524"/>
      <c r="ET615" s="1524"/>
      <c r="EU615" s="1524"/>
      <c r="EV615" s="1525"/>
      <c r="EW615" s="1523" t="str">
        <f t="shared" si="22"/>
        <v/>
      </c>
      <c r="EX615" s="1524"/>
      <c r="EY615" s="1524"/>
      <c r="EZ615" s="1524"/>
      <c r="FA615" s="1525"/>
    </row>
    <row r="616" spans="1:157" ht="13" customHeight="1">
      <c r="AZ616" s="3"/>
      <c r="BA616" s="3"/>
      <c r="BB616" s="3"/>
      <c r="BC616" s="3"/>
      <c r="BD616" s="3"/>
      <c r="BE616" s="1523">
        <f t="shared" si="1"/>
        <v>0</v>
      </c>
      <c r="BF616" s="1525"/>
      <c r="BG616" s="1531">
        <f t="shared" si="2"/>
        <v>0</v>
      </c>
      <c r="BH616" s="1532"/>
      <c r="BI616" s="1523">
        <f t="shared" si="3"/>
        <v>0</v>
      </c>
      <c r="BJ616" s="1525"/>
      <c r="BK616" s="1531">
        <f t="shared" si="4"/>
        <v>0</v>
      </c>
      <c r="BL616" s="1532"/>
      <c r="BM616" s="3"/>
      <c r="BN616" s="1517">
        <f t="shared" si="5"/>
        <v>0</v>
      </c>
      <c r="BO616" s="1518"/>
      <c r="BP616" s="1518"/>
      <c r="BQ616" s="1518"/>
      <c r="BR616" s="1519"/>
      <c r="BS616" s="1526">
        <f t="shared" si="6"/>
        <v>0</v>
      </c>
      <c r="BT616" s="1526"/>
      <c r="BU616" s="1526"/>
      <c r="BV616" s="1526"/>
      <c r="BW616" s="1526"/>
      <c r="BX616" s="1526">
        <f t="shared" si="7"/>
        <v>0</v>
      </c>
      <c r="BY616" s="1526"/>
      <c r="BZ616" s="1526"/>
      <c r="CA616" s="1526"/>
      <c r="CB616" s="1526"/>
      <c r="CC616" s="1526">
        <f t="shared" si="8"/>
        <v>0</v>
      </c>
      <c r="CD616" s="1526"/>
      <c r="CE616" s="1526"/>
      <c r="CF616" s="1526"/>
      <c r="CG616" s="1526"/>
      <c r="CH616" s="1526">
        <f t="shared" si="9"/>
        <v>0</v>
      </c>
      <c r="CI616" s="1526"/>
      <c r="CJ616" s="1526"/>
      <c r="CK616" s="1526"/>
      <c r="CL616" s="1526"/>
      <c r="CM616" s="1526">
        <f t="shared" si="10"/>
        <v>0</v>
      </c>
      <c r="CN616" s="1526"/>
      <c r="CO616" s="1526"/>
      <c r="CP616" s="1526"/>
      <c r="CQ616" s="1526"/>
      <c r="CR616" s="6"/>
      <c r="CS616" s="1528">
        <f t="shared" si="11"/>
        <v>0</v>
      </c>
      <c r="CT616" s="1528"/>
      <c r="CU616" s="1528"/>
      <c r="CV616" s="1528"/>
      <c r="CW616" s="1528"/>
      <c r="CX616" s="1528">
        <f t="shared" si="12"/>
        <v>0</v>
      </c>
      <c r="CY616" s="1528"/>
      <c r="CZ616" s="1528"/>
      <c r="DA616" s="1528"/>
      <c r="DB616" s="1528"/>
      <c r="DC616" s="1528">
        <f t="shared" si="13"/>
        <v>0</v>
      </c>
      <c r="DD616" s="1528"/>
      <c r="DE616" s="1528"/>
      <c r="DF616" s="1528"/>
      <c r="DG616" s="1528"/>
      <c r="DH616" s="1528">
        <f t="shared" si="14"/>
        <v>0</v>
      </c>
      <c r="DI616" s="1528"/>
      <c r="DJ616" s="1528"/>
      <c r="DK616" s="1528"/>
      <c r="DL616" s="1528"/>
      <c r="DM616" s="1528">
        <f t="shared" si="15"/>
        <v>0</v>
      </c>
      <c r="DN616" s="1528"/>
      <c r="DO616" s="1528"/>
      <c r="DP616" s="1528"/>
      <c r="DQ616" s="1528"/>
      <c r="DR616" s="1528">
        <f t="shared" si="16"/>
        <v>0</v>
      </c>
      <c r="DS616" s="1528"/>
      <c r="DT616" s="1528"/>
      <c r="DU616" s="1528"/>
      <c r="DV616" s="1528"/>
      <c r="DX616" s="1523" t="str">
        <f t="shared" si="17"/>
        <v/>
      </c>
      <c r="DY616" s="1524"/>
      <c r="DZ616" s="1524"/>
      <c r="EA616" s="1524"/>
      <c r="EB616" s="1525"/>
      <c r="EC616" s="1523" t="str">
        <f t="shared" si="18"/>
        <v/>
      </c>
      <c r="ED616" s="1524"/>
      <c r="EE616" s="1524"/>
      <c r="EF616" s="1524"/>
      <c r="EG616" s="1525"/>
      <c r="EH616" s="1523" t="str">
        <f t="shared" si="19"/>
        <v/>
      </c>
      <c r="EI616" s="1524"/>
      <c r="EJ616" s="1524"/>
      <c r="EK616" s="1524"/>
      <c r="EL616" s="1525"/>
      <c r="EM616" s="1523" t="str">
        <f t="shared" si="20"/>
        <v/>
      </c>
      <c r="EN616" s="1524"/>
      <c r="EO616" s="1524"/>
      <c r="EP616" s="1524"/>
      <c r="EQ616" s="1525"/>
      <c r="ER616" s="1523" t="str">
        <f t="shared" si="21"/>
        <v/>
      </c>
      <c r="ES616" s="1524"/>
      <c r="ET616" s="1524"/>
      <c r="EU616" s="1524"/>
      <c r="EV616" s="1525"/>
      <c r="EW616" s="1523" t="str">
        <f t="shared" si="22"/>
        <v/>
      </c>
      <c r="EX616" s="1524"/>
      <c r="EY616" s="1524"/>
      <c r="EZ616" s="1524"/>
      <c r="FA616" s="1525"/>
    </row>
    <row r="617" spans="1:157" ht="13"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23">
        <f t="shared" si="1"/>
        <v>0</v>
      </c>
      <c r="BF617" s="1525"/>
      <c r="BG617" s="1531">
        <f t="shared" si="2"/>
        <v>0</v>
      </c>
      <c r="BH617" s="1532"/>
      <c r="BI617" s="1523">
        <f t="shared" si="3"/>
        <v>0</v>
      </c>
      <c r="BJ617" s="1525"/>
      <c r="BK617" s="1531">
        <f t="shared" si="4"/>
        <v>0</v>
      </c>
      <c r="BL617" s="1532"/>
      <c r="BM617" s="3"/>
      <c r="BN617" s="1517">
        <f t="shared" si="5"/>
        <v>0</v>
      </c>
      <c r="BO617" s="1518"/>
      <c r="BP617" s="1518"/>
      <c r="BQ617" s="1518"/>
      <c r="BR617" s="1519"/>
      <c r="BS617" s="1526">
        <f t="shared" si="6"/>
        <v>0</v>
      </c>
      <c r="BT617" s="1526"/>
      <c r="BU617" s="1526"/>
      <c r="BV617" s="1526"/>
      <c r="BW617" s="1526"/>
      <c r="BX617" s="1526">
        <f t="shared" si="7"/>
        <v>0</v>
      </c>
      <c r="BY617" s="1526"/>
      <c r="BZ617" s="1526"/>
      <c r="CA617" s="1526"/>
      <c r="CB617" s="1526"/>
      <c r="CC617" s="1526">
        <f t="shared" si="8"/>
        <v>0</v>
      </c>
      <c r="CD617" s="1526"/>
      <c r="CE617" s="1526"/>
      <c r="CF617" s="1526"/>
      <c r="CG617" s="1526"/>
      <c r="CH617" s="1526">
        <f t="shared" si="9"/>
        <v>0</v>
      </c>
      <c r="CI617" s="1526"/>
      <c r="CJ617" s="1526"/>
      <c r="CK617" s="1526"/>
      <c r="CL617" s="1526"/>
      <c r="CM617" s="1526">
        <f t="shared" si="10"/>
        <v>0</v>
      </c>
      <c r="CN617" s="1526"/>
      <c r="CO617" s="1526"/>
      <c r="CP617" s="1526"/>
      <c r="CQ617" s="1526"/>
      <c r="CR617" s="6"/>
      <c r="CS617" s="1528">
        <f t="shared" si="11"/>
        <v>0</v>
      </c>
      <c r="CT617" s="1528"/>
      <c r="CU617" s="1528"/>
      <c r="CV617" s="1528"/>
      <c r="CW617" s="1528"/>
      <c r="CX617" s="1528">
        <f t="shared" si="12"/>
        <v>0</v>
      </c>
      <c r="CY617" s="1528"/>
      <c r="CZ617" s="1528"/>
      <c r="DA617" s="1528"/>
      <c r="DB617" s="1528"/>
      <c r="DC617" s="1528">
        <f t="shared" si="13"/>
        <v>0</v>
      </c>
      <c r="DD617" s="1528"/>
      <c r="DE617" s="1528"/>
      <c r="DF617" s="1528"/>
      <c r="DG617" s="1528"/>
      <c r="DH617" s="1528">
        <f t="shared" si="14"/>
        <v>0</v>
      </c>
      <c r="DI617" s="1528"/>
      <c r="DJ617" s="1528"/>
      <c r="DK617" s="1528"/>
      <c r="DL617" s="1528"/>
      <c r="DM617" s="1528">
        <f t="shared" si="15"/>
        <v>0</v>
      </c>
      <c r="DN617" s="1528"/>
      <c r="DO617" s="1528"/>
      <c r="DP617" s="1528"/>
      <c r="DQ617" s="1528"/>
      <c r="DR617" s="1528">
        <f t="shared" si="16"/>
        <v>0</v>
      </c>
      <c r="DS617" s="1528"/>
      <c r="DT617" s="1528"/>
      <c r="DU617" s="1528"/>
      <c r="DV617" s="1528"/>
      <c r="DX617" s="1523" t="str">
        <f t="shared" si="17"/>
        <v/>
      </c>
      <c r="DY617" s="1524"/>
      <c r="DZ617" s="1524"/>
      <c r="EA617" s="1524"/>
      <c r="EB617" s="1525"/>
      <c r="EC617" s="1523" t="str">
        <f t="shared" si="18"/>
        <v/>
      </c>
      <c r="ED617" s="1524"/>
      <c r="EE617" s="1524"/>
      <c r="EF617" s="1524"/>
      <c r="EG617" s="1525"/>
      <c r="EH617" s="1523" t="str">
        <f t="shared" si="19"/>
        <v/>
      </c>
      <c r="EI617" s="1524"/>
      <c r="EJ617" s="1524"/>
      <c r="EK617" s="1524"/>
      <c r="EL617" s="1525"/>
      <c r="EM617" s="1523" t="str">
        <f t="shared" si="20"/>
        <v/>
      </c>
      <c r="EN617" s="1524"/>
      <c r="EO617" s="1524"/>
      <c r="EP617" s="1524"/>
      <c r="EQ617" s="1525"/>
      <c r="ER617" s="1523" t="str">
        <f t="shared" si="21"/>
        <v/>
      </c>
      <c r="ES617" s="1524"/>
      <c r="ET617" s="1524"/>
      <c r="EU617" s="1524"/>
      <c r="EV617" s="1525"/>
      <c r="EW617" s="1523" t="str">
        <f t="shared" si="22"/>
        <v/>
      </c>
      <c r="EX617" s="1524"/>
      <c r="EY617" s="1524"/>
      <c r="EZ617" s="1524"/>
      <c r="FA617" s="1525"/>
    </row>
    <row r="618" spans="1:157" ht="13"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23">
        <f t="shared" si="1"/>
        <v>0</v>
      </c>
      <c r="BF618" s="1525"/>
      <c r="BG618" s="1531">
        <f t="shared" si="2"/>
        <v>0</v>
      </c>
      <c r="BH618" s="1532"/>
      <c r="BI618" s="1523">
        <f t="shared" si="3"/>
        <v>0</v>
      </c>
      <c r="BJ618" s="1525"/>
      <c r="BK618" s="1531">
        <f t="shared" si="4"/>
        <v>0</v>
      </c>
      <c r="BL618" s="1532"/>
      <c r="BM618" s="3"/>
      <c r="BN618" s="1517">
        <f t="shared" si="5"/>
        <v>0</v>
      </c>
      <c r="BO618" s="1518"/>
      <c r="BP618" s="1518"/>
      <c r="BQ618" s="1518"/>
      <c r="BR618" s="1519"/>
      <c r="BS618" s="1526">
        <f t="shared" si="6"/>
        <v>0</v>
      </c>
      <c r="BT618" s="1526"/>
      <c r="BU618" s="1526"/>
      <c r="BV618" s="1526"/>
      <c r="BW618" s="1526"/>
      <c r="BX618" s="1526">
        <f t="shared" si="7"/>
        <v>0</v>
      </c>
      <c r="BY618" s="1526"/>
      <c r="BZ618" s="1526"/>
      <c r="CA618" s="1526"/>
      <c r="CB618" s="1526"/>
      <c r="CC618" s="1526">
        <f t="shared" si="8"/>
        <v>0</v>
      </c>
      <c r="CD618" s="1526"/>
      <c r="CE618" s="1526"/>
      <c r="CF618" s="1526"/>
      <c r="CG618" s="1526"/>
      <c r="CH618" s="1526">
        <f t="shared" si="9"/>
        <v>0</v>
      </c>
      <c r="CI618" s="1526"/>
      <c r="CJ618" s="1526"/>
      <c r="CK618" s="1526"/>
      <c r="CL618" s="1526"/>
      <c r="CM618" s="1526">
        <f t="shared" si="10"/>
        <v>0</v>
      </c>
      <c r="CN618" s="1526"/>
      <c r="CO618" s="1526"/>
      <c r="CP618" s="1526"/>
      <c r="CQ618" s="1526"/>
      <c r="CR618" s="6"/>
      <c r="CS618" s="1528">
        <f t="shared" si="11"/>
        <v>0</v>
      </c>
      <c r="CT618" s="1528"/>
      <c r="CU618" s="1528"/>
      <c r="CV618" s="1528"/>
      <c r="CW618" s="1528"/>
      <c r="CX618" s="1528">
        <f t="shared" si="12"/>
        <v>0</v>
      </c>
      <c r="CY618" s="1528"/>
      <c r="CZ618" s="1528"/>
      <c r="DA618" s="1528"/>
      <c r="DB618" s="1528"/>
      <c r="DC618" s="1528">
        <f t="shared" si="13"/>
        <v>0</v>
      </c>
      <c r="DD618" s="1528"/>
      <c r="DE618" s="1528"/>
      <c r="DF618" s="1528"/>
      <c r="DG618" s="1528"/>
      <c r="DH618" s="1528">
        <f t="shared" si="14"/>
        <v>0</v>
      </c>
      <c r="DI618" s="1528"/>
      <c r="DJ618" s="1528"/>
      <c r="DK618" s="1528"/>
      <c r="DL618" s="1528"/>
      <c r="DM618" s="1528">
        <f t="shared" si="15"/>
        <v>0</v>
      </c>
      <c r="DN618" s="1528"/>
      <c r="DO618" s="1528"/>
      <c r="DP618" s="1528"/>
      <c r="DQ618" s="1528"/>
      <c r="DR618" s="1528">
        <f t="shared" si="16"/>
        <v>0</v>
      </c>
      <c r="DS618" s="1528"/>
      <c r="DT618" s="1528"/>
      <c r="DU618" s="1528"/>
      <c r="DV618" s="1528"/>
      <c r="DX618" s="1523" t="str">
        <f t="shared" si="17"/>
        <v/>
      </c>
      <c r="DY618" s="1524"/>
      <c r="DZ618" s="1524"/>
      <c r="EA618" s="1524"/>
      <c r="EB618" s="1525"/>
      <c r="EC618" s="1523" t="str">
        <f t="shared" si="18"/>
        <v/>
      </c>
      <c r="ED618" s="1524"/>
      <c r="EE618" s="1524"/>
      <c r="EF618" s="1524"/>
      <c r="EG618" s="1525"/>
      <c r="EH618" s="1523" t="str">
        <f t="shared" si="19"/>
        <v/>
      </c>
      <c r="EI618" s="1524"/>
      <c r="EJ618" s="1524"/>
      <c r="EK618" s="1524"/>
      <c r="EL618" s="1525"/>
      <c r="EM618" s="1523" t="str">
        <f t="shared" si="20"/>
        <v/>
      </c>
      <c r="EN618" s="1524"/>
      <c r="EO618" s="1524"/>
      <c r="EP618" s="1524"/>
      <c r="EQ618" s="1525"/>
      <c r="ER618" s="1523" t="str">
        <f t="shared" si="21"/>
        <v/>
      </c>
      <c r="ES618" s="1524"/>
      <c r="ET618" s="1524"/>
      <c r="EU618" s="1524"/>
      <c r="EV618" s="1525"/>
      <c r="EW618" s="1523" t="str">
        <f t="shared" si="22"/>
        <v/>
      </c>
      <c r="EX618" s="1524"/>
      <c r="EY618" s="1524"/>
      <c r="EZ618" s="1524"/>
      <c r="FA618" s="1525"/>
    </row>
    <row r="619" spans="1:157" ht="13" customHeight="1">
      <c r="AZ619" s="3"/>
      <c r="BA619" s="3"/>
      <c r="BB619" s="3"/>
      <c r="BC619" s="3"/>
      <c r="BD619" s="3"/>
      <c r="BE619" s="1523">
        <f t="shared" si="1"/>
        <v>0</v>
      </c>
      <c r="BF619" s="1525"/>
      <c r="BG619" s="1531">
        <f t="shared" si="2"/>
        <v>0</v>
      </c>
      <c r="BH619" s="1532"/>
      <c r="BI619" s="1523">
        <f t="shared" si="3"/>
        <v>0</v>
      </c>
      <c r="BJ619" s="1525"/>
      <c r="BK619" s="1531">
        <f t="shared" si="4"/>
        <v>0</v>
      </c>
      <c r="BL619" s="1532"/>
      <c r="BM619" s="3"/>
      <c r="BN619" s="1517">
        <f t="shared" si="5"/>
        <v>0</v>
      </c>
      <c r="BO619" s="1518"/>
      <c r="BP619" s="1518"/>
      <c r="BQ619" s="1518"/>
      <c r="BR619" s="1519"/>
      <c r="BS619" s="1526">
        <f t="shared" si="6"/>
        <v>0</v>
      </c>
      <c r="BT619" s="1526"/>
      <c r="BU619" s="1526"/>
      <c r="BV619" s="1526"/>
      <c r="BW619" s="1526"/>
      <c r="BX619" s="1526">
        <f t="shared" si="7"/>
        <v>0</v>
      </c>
      <c r="BY619" s="1526"/>
      <c r="BZ619" s="1526"/>
      <c r="CA619" s="1526"/>
      <c r="CB619" s="1526"/>
      <c r="CC619" s="1526">
        <f t="shared" si="8"/>
        <v>0</v>
      </c>
      <c r="CD619" s="1526"/>
      <c r="CE619" s="1526"/>
      <c r="CF619" s="1526"/>
      <c r="CG619" s="1526"/>
      <c r="CH619" s="1526">
        <f t="shared" si="9"/>
        <v>0</v>
      </c>
      <c r="CI619" s="1526"/>
      <c r="CJ619" s="1526"/>
      <c r="CK619" s="1526"/>
      <c r="CL619" s="1526"/>
      <c r="CM619" s="1526">
        <f t="shared" si="10"/>
        <v>0</v>
      </c>
      <c r="CN619" s="1526"/>
      <c r="CO619" s="1526"/>
      <c r="CP619" s="1526"/>
      <c r="CQ619" s="1526"/>
      <c r="CR619" s="6"/>
      <c r="CS619" s="1528">
        <f t="shared" si="11"/>
        <v>0</v>
      </c>
      <c r="CT619" s="1528"/>
      <c r="CU619" s="1528"/>
      <c r="CV619" s="1528"/>
      <c r="CW619" s="1528"/>
      <c r="CX619" s="1528">
        <f t="shared" si="12"/>
        <v>0</v>
      </c>
      <c r="CY619" s="1528"/>
      <c r="CZ619" s="1528"/>
      <c r="DA619" s="1528"/>
      <c r="DB619" s="1528"/>
      <c r="DC619" s="1528">
        <f t="shared" si="13"/>
        <v>0</v>
      </c>
      <c r="DD619" s="1528"/>
      <c r="DE619" s="1528"/>
      <c r="DF619" s="1528"/>
      <c r="DG619" s="1528"/>
      <c r="DH619" s="1528">
        <f t="shared" si="14"/>
        <v>0</v>
      </c>
      <c r="DI619" s="1528"/>
      <c r="DJ619" s="1528"/>
      <c r="DK619" s="1528"/>
      <c r="DL619" s="1528"/>
      <c r="DM619" s="1528">
        <f t="shared" si="15"/>
        <v>0</v>
      </c>
      <c r="DN619" s="1528"/>
      <c r="DO619" s="1528"/>
      <c r="DP619" s="1528"/>
      <c r="DQ619" s="1528"/>
      <c r="DR619" s="1528">
        <f t="shared" si="16"/>
        <v>0</v>
      </c>
      <c r="DS619" s="1528"/>
      <c r="DT619" s="1528"/>
      <c r="DU619" s="1528"/>
      <c r="DV619" s="1528"/>
      <c r="DX619" s="1523" t="str">
        <f t="shared" si="17"/>
        <v/>
      </c>
      <c r="DY619" s="1524"/>
      <c r="DZ619" s="1524"/>
      <c r="EA619" s="1524"/>
      <c r="EB619" s="1525"/>
      <c r="EC619" s="1523" t="str">
        <f t="shared" si="18"/>
        <v/>
      </c>
      <c r="ED619" s="1524"/>
      <c r="EE619" s="1524"/>
      <c r="EF619" s="1524"/>
      <c r="EG619" s="1525"/>
      <c r="EH619" s="1523" t="str">
        <f t="shared" si="19"/>
        <v/>
      </c>
      <c r="EI619" s="1524"/>
      <c r="EJ619" s="1524"/>
      <c r="EK619" s="1524"/>
      <c r="EL619" s="1525"/>
      <c r="EM619" s="1523" t="str">
        <f t="shared" si="20"/>
        <v/>
      </c>
      <c r="EN619" s="1524"/>
      <c r="EO619" s="1524"/>
      <c r="EP619" s="1524"/>
      <c r="EQ619" s="1525"/>
      <c r="ER619" s="1523" t="str">
        <f t="shared" si="21"/>
        <v/>
      </c>
      <c r="ES619" s="1524"/>
      <c r="ET619" s="1524"/>
      <c r="EU619" s="1524"/>
      <c r="EV619" s="1525"/>
      <c r="EW619" s="1523" t="str">
        <f t="shared" si="22"/>
        <v/>
      </c>
      <c r="EX619" s="1524"/>
      <c r="EY619" s="1524"/>
      <c r="EZ619" s="1524"/>
      <c r="FA619" s="1525"/>
    </row>
    <row r="620" spans="1:157" ht="13" customHeight="1">
      <c r="A620" s="2" t="s">
        <v>319</v>
      </c>
      <c r="B620" s="2"/>
      <c r="C620" s="2" t="s">
        <v>21</v>
      </c>
      <c r="AZ620" s="3"/>
      <c r="BA620" s="3"/>
      <c r="BB620" s="3"/>
      <c r="BC620" s="3"/>
      <c r="BD620" s="3"/>
      <c r="BE620" s="1523">
        <f t="shared" si="1"/>
        <v>0</v>
      </c>
      <c r="BF620" s="1525"/>
      <c r="BG620" s="1531">
        <f t="shared" si="2"/>
        <v>0</v>
      </c>
      <c r="BH620" s="1532"/>
      <c r="BI620" s="1523">
        <f t="shared" si="3"/>
        <v>0</v>
      </c>
      <c r="BJ620" s="1525"/>
      <c r="BK620" s="1531">
        <f t="shared" si="4"/>
        <v>0</v>
      </c>
      <c r="BL620" s="1532"/>
      <c r="BM620" s="3"/>
      <c r="BN620" s="1517">
        <f t="shared" si="5"/>
        <v>0</v>
      </c>
      <c r="BO620" s="1518"/>
      <c r="BP620" s="1518"/>
      <c r="BQ620" s="1518"/>
      <c r="BR620" s="1519"/>
      <c r="BS620" s="1526">
        <f t="shared" si="6"/>
        <v>0</v>
      </c>
      <c r="BT620" s="1526"/>
      <c r="BU620" s="1526"/>
      <c r="BV620" s="1526"/>
      <c r="BW620" s="1526"/>
      <c r="BX620" s="1526">
        <f t="shared" si="7"/>
        <v>0</v>
      </c>
      <c r="BY620" s="1526"/>
      <c r="BZ620" s="1526"/>
      <c r="CA620" s="1526"/>
      <c r="CB620" s="1526"/>
      <c r="CC620" s="1526">
        <f t="shared" si="8"/>
        <v>0</v>
      </c>
      <c r="CD620" s="1526"/>
      <c r="CE620" s="1526"/>
      <c r="CF620" s="1526"/>
      <c r="CG620" s="1526"/>
      <c r="CH620" s="1526">
        <f t="shared" si="9"/>
        <v>0</v>
      </c>
      <c r="CI620" s="1526"/>
      <c r="CJ620" s="1526"/>
      <c r="CK620" s="1526"/>
      <c r="CL620" s="1526"/>
      <c r="CM620" s="1526">
        <f t="shared" si="10"/>
        <v>0</v>
      </c>
      <c r="CN620" s="1526"/>
      <c r="CO620" s="1526"/>
      <c r="CP620" s="1526"/>
      <c r="CQ620" s="1526"/>
      <c r="CR620" s="6"/>
      <c r="CS620" s="1528">
        <f t="shared" si="11"/>
        <v>0</v>
      </c>
      <c r="CT620" s="1528"/>
      <c r="CU620" s="1528"/>
      <c r="CV620" s="1528"/>
      <c r="CW620" s="1528"/>
      <c r="CX620" s="1528">
        <f t="shared" si="12"/>
        <v>0</v>
      </c>
      <c r="CY620" s="1528"/>
      <c r="CZ620" s="1528"/>
      <c r="DA620" s="1528"/>
      <c r="DB620" s="1528"/>
      <c r="DC620" s="1528">
        <f t="shared" si="13"/>
        <v>0</v>
      </c>
      <c r="DD620" s="1528"/>
      <c r="DE620" s="1528"/>
      <c r="DF620" s="1528"/>
      <c r="DG620" s="1528"/>
      <c r="DH620" s="1528">
        <f t="shared" si="14"/>
        <v>0</v>
      </c>
      <c r="DI620" s="1528"/>
      <c r="DJ620" s="1528"/>
      <c r="DK620" s="1528"/>
      <c r="DL620" s="1528"/>
      <c r="DM620" s="1528">
        <f t="shared" si="15"/>
        <v>0</v>
      </c>
      <c r="DN620" s="1528"/>
      <c r="DO620" s="1528"/>
      <c r="DP620" s="1528"/>
      <c r="DQ620" s="1528"/>
      <c r="DR620" s="1528">
        <f t="shared" si="16"/>
        <v>0</v>
      </c>
      <c r="DS620" s="1528"/>
      <c r="DT620" s="1528"/>
      <c r="DU620" s="1528"/>
      <c r="DV620" s="1528"/>
      <c r="DX620" s="1523" t="str">
        <f t="shared" si="17"/>
        <v/>
      </c>
      <c r="DY620" s="1524"/>
      <c r="DZ620" s="1524"/>
      <c r="EA620" s="1524"/>
      <c r="EB620" s="1525"/>
      <c r="EC620" s="1523" t="str">
        <f t="shared" si="18"/>
        <v/>
      </c>
      <c r="ED620" s="1524"/>
      <c r="EE620" s="1524"/>
      <c r="EF620" s="1524"/>
      <c r="EG620" s="1525"/>
      <c r="EH620" s="1523" t="str">
        <f t="shared" si="19"/>
        <v/>
      </c>
      <c r="EI620" s="1524"/>
      <c r="EJ620" s="1524"/>
      <c r="EK620" s="1524"/>
      <c r="EL620" s="1525"/>
      <c r="EM620" s="1523" t="str">
        <f t="shared" si="20"/>
        <v/>
      </c>
      <c r="EN620" s="1524"/>
      <c r="EO620" s="1524"/>
      <c r="EP620" s="1524"/>
      <c r="EQ620" s="1525"/>
      <c r="ER620" s="1523" t="str">
        <f t="shared" si="21"/>
        <v/>
      </c>
      <c r="ES620" s="1524"/>
      <c r="ET620" s="1524"/>
      <c r="EU620" s="1524"/>
      <c r="EV620" s="1525"/>
      <c r="EW620" s="1523" t="str">
        <f t="shared" si="22"/>
        <v/>
      </c>
      <c r="EX620" s="1524"/>
      <c r="EY620" s="1524"/>
      <c r="EZ620" s="1524"/>
      <c r="FA620" s="1525"/>
    </row>
    <row r="621" spans="1:157" ht="13" customHeight="1">
      <c r="A621" s="2"/>
      <c r="B621" s="2"/>
      <c r="C621" s="2"/>
      <c r="AZ621" s="3"/>
      <c r="BA621" s="3"/>
      <c r="BB621" s="3"/>
      <c r="BC621" s="3"/>
      <c r="BD621" s="3"/>
      <c r="BE621" s="1523">
        <f t="shared" si="1"/>
        <v>0</v>
      </c>
      <c r="BF621" s="1525"/>
      <c r="BG621" s="1531">
        <f t="shared" si="2"/>
        <v>0</v>
      </c>
      <c r="BH621" s="1532"/>
      <c r="BI621" s="1523">
        <f t="shared" si="3"/>
        <v>0</v>
      </c>
      <c r="BJ621" s="1525"/>
      <c r="BK621" s="1531">
        <f t="shared" si="4"/>
        <v>0</v>
      </c>
      <c r="BL621" s="1532"/>
      <c r="BM621" s="3"/>
      <c r="BN621" s="1517">
        <f t="shared" si="5"/>
        <v>0</v>
      </c>
      <c r="BO621" s="1518"/>
      <c r="BP621" s="1518"/>
      <c r="BQ621" s="1518"/>
      <c r="BR621" s="1519"/>
      <c r="BS621" s="1526">
        <f t="shared" si="6"/>
        <v>0</v>
      </c>
      <c r="BT621" s="1526"/>
      <c r="BU621" s="1526"/>
      <c r="BV621" s="1526"/>
      <c r="BW621" s="1526"/>
      <c r="BX621" s="1526">
        <f t="shared" si="7"/>
        <v>0</v>
      </c>
      <c r="BY621" s="1526"/>
      <c r="BZ621" s="1526"/>
      <c r="CA621" s="1526"/>
      <c r="CB621" s="1526"/>
      <c r="CC621" s="1526">
        <f t="shared" si="8"/>
        <v>0</v>
      </c>
      <c r="CD621" s="1526"/>
      <c r="CE621" s="1526"/>
      <c r="CF621" s="1526"/>
      <c r="CG621" s="1526"/>
      <c r="CH621" s="1526">
        <f t="shared" si="9"/>
        <v>0</v>
      </c>
      <c r="CI621" s="1526"/>
      <c r="CJ621" s="1526"/>
      <c r="CK621" s="1526"/>
      <c r="CL621" s="1526"/>
      <c r="CM621" s="1526">
        <f t="shared" si="10"/>
        <v>0</v>
      </c>
      <c r="CN621" s="1526"/>
      <c r="CO621" s="1526"/>
      <c r="CP621" s="1526"/>
      <c r="CQ621" s="1526"/>
      <c r="CR621" s="6"/>
      <c r="CS621" s="1528">
        <f t="shared" si="11"/>
        <v>0</v>
      </c>
      <c r="CT621" s="1528"/>
      <c r="CU621" s="1528"/>
      <c r="CV621" s="1528"/>
      <c r="CW621" s="1528"/>
      <c r="CX621" s="1528">
        <f t="shared" si="12"/>
        <v>0</v>
      </c>
      <c r="CY621" s="1528"/>
      <c r="CZ621" s="1528"/>
      <c r="DA621" s="1528"/>
      <c r="DB621" s="1528"/>
      <c r="DC621" s="1528">
        <f t="shared" si="13"/>
        <v>0</v>
      </c>
      <c r="DD621" s="1528"/>
      <c r="DE621" s="1528"/>
      <c r="DF621" s="1528"/>
      <c r="DG621" s="1528"/>
      <c r="DH621" s="1528">
        <f t="shared" si="14"/>
        <v>0</v>
      </c>
      <c r="DI621" s="1528"/>
      <c r="DJ621" s="1528"/>
      <c r="DK621" s="1528"/>
      <c r="DL621" s="1528"/>
      <c r="DM621" s="1528">
        <f t="shared" si="15"/>
        <v>0</v>
      </c>
      <c r="DN621" s="1528"/>
      <c r="DO621" s="1528"/>
      <c r="DP621" s="1528"/>
      <c r="DQ621" s="1528"/>
      <c r="DR621" s="1528">
        <f t="shared" si="16"/>
        <v>0</v>
      </c>
      <c r="DS621" s="1528"/>
      <c r="DT621" s="1528"/>
      <c r="DU621" s="1528"/>
      <c r="DV621" s="1528"/>
      <c r="DX621" s="1523" t="str">
        <f t="shared" si="17"/>
        <v/>
      </c>
      <c r="DY621" s="1524"/>
      <c r="DZ621" s="1524"/>
      <c r="EA621" s="1524"/>
      <c r="EB621" s="1525"/>
      <c r="EC621" s="1523" t="str">
        <f t="shared" si="18"/>
        <v/>
      </c>
      <c r="ED621" s="1524"/>
      <c r="EE621" s="1524"/>
      <c r="EF621" s="1524"/>
      <c r="EG621" s="1525"/>
      <c r="EH621" s="1523" t="str">
        <f t="shared" si="19"/>
        <v/>
      </c>
      <c r="EI621" s="1524"/>
      <c r="EJ621" s="1524"/>
      <c r="EK621" s="1524"/>
      <c r="EL621" s="1525"/>
      <c r="EM621" s="1523" t="str">
        <f t="shared" si="20"/>
        <v/>
      </c>
      <c r="EN621" s="1524"/>
      <c r="EO621" s="1524"/>
      <c r="EP621" s="1524"/>
      <c r="EQ621" s="1525"/>
      <c r="ER621" s="1523" t="str">
        <f t="shared" si="21"/>
        <v/>
      </c>
      <c r="ES621" s="1524"/>
      <c r="ET621" s="1524"/>
      <c r="EU621" s="1524"/>
      <c r="EV621" s="1525"/>
      <c r="EW621" s="1523" t="str">
        <f t="shared" si="22"/>
        <v/>
      </c>
      <c r="EX621" s="1524"/>
      <c r="EY621" s="1524"/>
      <c r="EZ621" s="1524"/>
      <c r="FA621" s="1525"/>
    </row>
    <row r="622" spans="1:157" ht="13" customHeight="1">
      <c r="C622" s="2" t="s">
        <v>2420</v>
      </c>
      <c r="AZ622" s="3"/>
      <c r="BA622" s="3"/>
      <c r="BB622" s="3"/>
      <c r="BC622" s="3"/>
      <c r="BD622" s="3"/>
      <c r="BE622" s="1523">
        <f t="shared" si="1"/>
        <v>0</v>
      </c>
      <c r="BF622" s="1525"/>
      <c r="BG622" s="1531">
        <f t="shared" si="2"/>
        <v>0</v>
      </c>
      <c r="BH622" s="1532"/>
      <c r="BI622" s="1523">
        <f t="shared" si="3"/>
        <v>0</v>
      </c>
      <c r="BJ622" s="1525"/>
      <c r="BK622" s="1531">
        <f t="shared" si="4"/>
        <v>0</v>
      </c>
      <c r="BL622" s="1532"/>
      <c r="BM622" s="3"/>
      <c r="BN622" s="1517">
        <f t="shared" si="5"/>
        <v>0</v>
      </c>
      <c r="BO622" s="1518"/>
      <c r="BP622" s="1518"/>
      <c r="BQ622" s="1518"/>
      <c r="BR622" s="1519"/>
      <c r="BS622" s="1526">
        <f t="shared" si="6"/>
        <v>0</v>
      </c>
      <c r="BT622" s="1526"/>
      <c r="BU622" s="1526"/>
      <c r="BV622" s="1526"/>
      <c r="BW622" s="1526"/>
      <c r="BX622" s="1526">
        <f t="shared" si="7"/>
        <v>0</v>
      </c>
      <c r="BY622" s="1526"/>
      <c r="BZ622" s="1526"/>
      <c r="CA622" s="1526"/>
      <c r="CB622" s="1526"/>
      <c r="CC622" s="1526">
        <f t="shared" si="8"/>
        <v>0</v>
      </c>
      <c r="CD622" s="1526"/>
      <c r="CE622" s="1526"/>
      <c r="CF622" s="1526"/>
      <c r="CG622" s="1526"/>
      <c r="CH622" s="1526">
        <f t="shared" si="9"/>
        <v>0</v>
      </c>
      <c r="CI622" s="1526"/>
      <c r="CJ622" s="1526"/>
      <c r="CK622" s="1526"/>
      <c r="CL622" s="1526"/>
      <c r="CM622" s="1526">
        <f t="shared" si="10"/>
        <v>0</v>
      </c>
      <c r="CN622" s="1526"/>
      <c r="CO622" s="1526"/>
      <c r="CP622" s="1526"/>
      <c r="CQ622" s="1526"/>
      <c r="CR622" s="6"/>
      <c r="CS622" s="1528">
        <f t="shared" si="11"/>
        <v>0</v>
      </c>
      <c r="CT622" s="1528"/>
      <c r="CU622" s="1528"/>
      <c r="CV622" s="1528"/>
      <c r="CW622" s="1528"/>
      <c r="CX622" s="1528">
        <f t="shared" si="12"/>
        <v>0</v>
      </c>
      <c r="CY622" s="1528"/>
      <c r="CZ622" s="1528"/>
      <c r="DA622" s="1528"/>
      <c r="DB622" s="1528"/>
      <c r="DC622" s="1528">
        <f t="shared" si="13"/>
        <v>0</v>
      </c>
      <c r="DD622" s="1528"/>
      <c r="DE622" s="1528"/>
      <c r="DF622" s="1528"/>
      <c r="DG622" s="1528"/>
      <c r="DH622" s="1528">
        <f t="shared" si="14"/>
        <v>0</v>
      </c>
      <c r="DI622" s="1528"/>
      <c r="DJ622" s="1528"/>
      <c r="DK622" s="1528"/>
      <c r="DL622" s="1528"/>
      <c r="DM622" s="1528">
        <f t="shared" si="15"/>
        <v>0</v>
      </c>
      <c r="DN622" s="1528"/>
      <c r="DO622" s="1528"/>
      <c r="DP622" s="1528"/>
      <c r="DQ622" s="1528"/>
      <c r="DR622" s="1528">
        <f t="shared" si="16"/>
        <v>0</v>
      </c>
      <c r="DS622" s="1528"/>
      <c r="DT622" s="1528"/>
      <c r="DU622" s="1528"/>
      <c r="DV622" s="1528"/>
      <c r="DX622" s="1523" t="str">
        <f t="shared" si="17"/>
        <v/>
      </c>
      <c r="DY622" s="1524"/>
      <c r="DZ622" s="1524"/>
      <c r="EA622" s="1524"/>
      <c r="EB622" s="1525"/>
      <c r="EC622" s="1523" t="str">
        <f t="shared" si="18"/>
        <v/>
      </c>
      <c r="ED622" s="1524"/>
      <c r="EE622" s="1524"/>
      <c r="EF622" s="1524"/>
      <c r="EG622" s="1525"/>
      <c r="EH622" s="1523" t="str">
        <f t="shared" si="19"/>
        <v/>
      </c>
      <c r="EI622" s="1524"/>
      <c r="EJ622" s="1524"/>
      <c r="EK622" s="1524"/>
      <c r="EL622" s="1525"/>
      <c r="EM622" s="1523" t="str">
        <f t="shared" si="20"/>
        <v/>
      </c>
      <c r="EN622" s="1524"/>
      <c r="EO622" s="1524"/>
      <c r="EP622" s="1524"/>
      <c r="EQ622" s="1525"/>
      <c r="ER622" s="1523" t="str">
        <f t="shared" si="21"/>
        <v/>
      </c>
      <c r="ES622" s="1524"/>
      <c r="ET622" s="1524"/>
      <c r="EU622" s="1524"/>
      <c r="EV622" s="1525"/>
      <c r="EW622" s="1523" t="str">
        <f t="shared" si="22"/>
        <v/>
      </c>
      <c r="EX622" s="1524"/>
      <c r="EY622" s="1524"/>
      <c r="EZ622" s="1524"/>
      <c r="FA622" s="1525"/>
    </row>
    <row r="623" spans="1:157" ht="13" customHeight="1">
      <c r="B623" s="546"/>
      <c r="C623" s="2"/>
      <c r="AU623" s="3"/>
      <c r="AZ623" s="3"/>
      <c r="BA623" s="3"/>
      <c r="BB623" s="3"/>
      <c r="BC623" s="3"/>
      <c r="BD623" s="3"/>
      <c r="BE623" s="1523">
        <f t="shared" si="1"/>
        <v>0</v>
      </c>
      <c r="BF623" s="1525"/>
      <c r="BG623" s="1531">
        <f t="shared" si="2"/>
        <v>0</v>
      </c>
      <c r="BH623" s="1532"/>
      <c r="BI623" s="1523">
        <f t="shared" si="3"/>
        <v>0</v>
      </c>
      <c r="BJ623" s="1525"/>
      <c r="BK623" s="1531">
        <f t="shared" si="4"/>
        <v>0</v>
      </c>
      <c r="BL623" s="1532"/>
      <c r="BM623" s="3"/>
      <c r="BN623" s="1517">
        <f t="shared" si="5"/>
        <v>0</v>
      </c>
      <c r="BO623" s="1518"/>
      <c r="BP623" s="1518"/>
      <c r="BQ623" s="1518"/>
      <c r="BR623" s="1519"/>
      <c r="BS623" s="1526">
        <f t="shared" si="6"/>
        <v>0</v>
      </c>
      <c r="BT623" s="1526"/>
      <c r="BU623" s="1526"/>
      <c r="BV623" s="1526"/>
      <c r="BW623" s="1526"/>
      <c r="BX623" s="1526">
        <f t="shared" si="7"/>
        <v>0</v>
      </c>
      <c r="BY623" s="1526"/>
      <c r="BZ623" s="1526"/>
      <c r="CA623" s="1526"/>
      <c r="CB623" s="1526"/>
      <c r="CC623" s="1526">
        <f t="shared" si="8"/>
        <v>0</v>
      </c>
      <c r="CD623" s="1526"/>
      <c r="CE623" s="1526"/>
      <c r="CF623" s="1526"/>
      <c r="CG623" s="1526"/>
      <c r="CH623" s="1526">
        <f t="shared" si="9"/>
        <v>0</v>
      </c>
      <c r="CI623" s="1526"/>
      <c r="CJ623" s="1526"/>
      <c r="CK623" s="1526"/>
      <c r="CL623" s="1526"/>
      <c r="CM623" s="1526">
        <f t="shared" si="10"/>
        <v>0</v>
      </c>
      <c r="CN623" s="1526"/>
      <c r="CO623" s="1526"/>
      <c r="CP623" s="1526"/>
      <c r="CQ623" s="1526"/>
      <c r="CR623" s="6"/>
      <c r="CS623" s="1528">
        <f t="shared" si="11"/>
        <v>0</v>
      </c>
      <c r="CT623" s="1528"/>
      <c r="CU623" s="1528"/>
      <c r="CV623" s="1528"/>
      <c r="CW623" s="1528"/>
      <c r="CX623" s="1528">
        <f t="shared" si="12"/>
        <v>0</v>
      </c>
      <c r="CY623" s="1528"/>
      <c r="CZ623" s="1528"/>
      <c r="DA623" s="1528"/>
      <c r="DB623" s="1528"/>
      <c r="DC623" s="1528">
        <f t="shared" si="13"/>
        <v>0</v>
      </c>
      <c r="DD623" s="1528"/>
      <c r="DE623" s="1528"/>
      <c r="DF623" s="1528"/>
      <c r="DG623" s="1528"/>
      <c r="DH623" s="1528">
        <f t="shared" si="14"/>
        <v>0</v>
      </c>
      <c r="DI623" s="1528"/>
      <c r="DJ623" s="1528"/>
      <c r="DK623" s="1528"/>
      <c r="DL623" s="1528"/>
      <c r="DM623" s="1528">
        <f t="shared" si="15"/>
        <v>0</v>
      </c>
      <c r="DN623" s="1528"/>
      <c r="DO623" s="1528"/>
      <c r="DP623" s="1528"/>
      <c r="DQ623" s="1528"/>
      <c r="DR623" s="1528">
        <f t="shared" si="16"/>
        <v>0</v>
      </c>
      <c r="DS623" s="1528"/>
      <c r="DT623" s="1528"/>
      <c r="DU623" s="1528"/>
      <c r="DV623" s="1528"/>
      <c r="DX623" s="1523" t="str">
        <f t="shared" si="17"/>
        <v/>
      </c>
      <c r="DY623" s="1524"/>
      <c r="DZ623" s="1524"/>
      <c r="EA623" s="1524"/>
      <c r="EB623" s="1525"/>
      <c r="EC623" s="1523" t="str">
        <f t="shared" si="18"/>
        <v/>
      </c>
      <c r="ED623" s="1524"/>
      <c r="EE623" s="1524"/>
      <c r="EF623" s="1524"/>
      <c r="EG623" s="1525"/>
      <c r="EH623" s="1523" t="str">
        <f t="shared" si="19"/>
        <v/>
      </c>
      <c r="EI623" s="1524"/>
      <c r="EJ623" s="1524"/>
      <c r="EK623" s="1524"/>
      <c r="EL623" s="1525"/>
      <c r="EM623" s="1523" t="str">
        <f t="shared" si="20"/>
        <v/>
      </c>
      <c r="EN623" s="1524"/>
      <c r="EO623" s="1524"/>
      <c r="EP623" s="1524"/>
      <c r="EQ623" s="1525"/>
      <c r="ER623" s="1523" t="str">
        <f t="shared" si="21"/>
        <v/>
      </c>
      <c r="ES623" s="1524"/>
      <c r="ET623" s="1524"/>
      <c r="EU623" s="1524"/>
      <c r="EV623" s="1525"/>
      <c r="EW623" s="1523" t="str">
        <f t="shared" si="22"/>
        <v/>
      </c>
      <c r="EX623" s="1524"/>
      <c r="EY623" s="1524"/>
      <c r="EZ623" s="1524"/>
      <c r="FA623" s="1525"/>
    </row>
    <row r="624" spans="1:157" ht="13" customHeight="1">
      <c r="B624" s="1451" t="s">
        <v>2422</v>
      </c>
      <c r="C624" s="1451"/>
      <c r="D624" s="1451"/>
      <c r="E624" s="1451"/>
      <c r="F624" s="1451"/>
      <c r="G624" s="1451"/>
      <c r="H624" s="1451"/>
      <c r="I624" s="1451"/>
      <c r="J624" s="1451"/>
      <c r="K624" s="1451"/>
      <c r="L624" s="1451"/>
      <c r="M624" s="1457" t="s">
        <v>2423</v>
      </c>
      <c r="N624" s="1457"/>
      <c r="O624" s="1457"/>
      <c r="P624" s="1457"/>
      <c r="Q624" s="1457" t="s">
        <v>2044</v>
      </c>
      <c r="R624" s="1457"/>
      <c r="S624" s="1457"/>
      <c r="T624" s="1457" t="s">
        <v>2042</v>
      </c>
      <c r="U624" s="1457"/>
      <c r="V624" s="1457"/>
      <c r="W624" s="1480" t="s">
        <v>461</v>
      </c>
      <c r="X624" s="1480"/>
      <c r="Y624" s="1480"/>
      <c r="Z624" s="1492" t="s">
        <v>2452</v>
      </c>
      <c r="AA624" s="1492"/>
      <c r="AB624" s="1493"/>
      <c r="AC624" s="1699" t="s">
        <v>1865</v>
      </c>
      <c r="AD624" s="1700"/>
      <c r="AE624" s="1701"/>
      <c r="AF624" s="1719" t="s">
        <v>2231</v>
      </c>
      <c r="AG624" s="1492"/>
      <c r="AH624" s="1492"/>
      <c r="AI624" s="1492"/>
      <c r="AJ624" s="1493"/>
      <c r="AK624" s="1640" t="s">
        <v>2232</v>
      </c>
      <c r="AL624" s="1641"/>
      <c r="AM624" s="1641"/>
      <c r="AN624" s="1642"/>
      <c r="AO624" s="1457" t="s">
        <v>462</v>
      </c>
      <c r="AP624" s="1457"/>
      <c r="AQ624" s="1457"/>
      <c r="AR624" s="1457"/>
      <c r="AS624" s="1457"/>
      <c r="AU624" s="3"/>
      <c r="AZ624" s="3"/>
      <c r="BA624" s="3"/>
      <c r="BB624" s="3"/>
      <c r="BC624" s="3"/>
      <c r="BD624" s="3"/>
      <c r="BE624" s="1523">
        <f t="shared" si="1"/>
        <v>0</v>
      </c>
      <c r="BF624" s="1525"/>
      <c r="BG624" s="1531">
        <f t="shared" si="2"/>
        <v>0</v>
      </c>
      <c r="BH624" s="1532"/>
      <c r="BI624" s="1523">
        <f t="shared" si="3"/>
        <v>0</v>
      </c>
      <c r="BJ624" s="1525"/>
      <c r="BK624" s="1531">
        <f t="shared" si="4"/>
        <v>0</v>
      </c>
      <c r="BL624" s="1532"/>
      <c r="BM624" s="3"/>
      <c r="BN624" s="1517">
        <f t="shared" si="5"/>
        <v>0</v>
      </c>
      <c r="BO624" s="1518"/>
      <c r="BP624" s="1518"/>
      <c r="BQ624" s="1518"/>
      <c r="BR624" s="1519"/>
      <c r="BS624" s="1526">
        <f t="shared" si="6"/>
        <v>0</v>
      </c>
      <c r="BT624" s="1526"/>
      <c r="BU624" s="1526"/>
      <c r="BV624" s="1526"/>
      <c r="BW624" s="1526"/>
      <c r="BX624" s="1526">
        <f t="shared" si="7"/>
        <v>0</v>
      </c>
      <c r="BY624" s="1526"/>
      <c r="BZ624" s="1526"/>
      <c r="CA624" s="1526"/>
      <c r="CB624" s="1526"/>
      <c r="CC624" s="1526">
        <f t="shared" si="8"/>
        <v>0</v>
      </c>
      <c r="CD624" s="1526"/>
      <c r="CE624" s="1526"/>
      <c r="CF624" s="1526"/>
      <c r="CG624" s="1526"/>
      <c r="CH624" s="1526">
        <f t="shared" si="9"/>
        <v>0</v>
      </c>
      <c r="CI624" s="1526"/>
      <c r="CJ624" s="1526"/>
      <c r="CK624" s="1526"/>
      <c r="CL624" s="1526"/>
      <c r="CM624" s="1526">
        <f t="shared" si="10"/>
        <v>0</v>
      </c>
      <c r="CN624" s="1526"/>
      <c r="CO624" s="1526"/>
      <c r="CP624" s="1526"/>
      <c r="CQ624" s="1526"/>
      <c r="CR624" s="6"/>
      <c r="CS624" s="1528">
        <f t="shared" si="11"/>
        <v>0</v>
      </c>
      <c r="CT624" s="1528"/>
      <c r="CU624" s="1528"/>
      <c r="CV624" s="1528"/>
      <c r="CW624" s="1528"/>
      <c r="CX624" s="1528">
        <f t="shared" si="12"/>
        <v>0</v>
      </c>
      <c r="CY624" s="1528"/>
      <c r="CZ624" s="1528"/>
      <c r="DA624" s="1528"/>
      <c r="DB624" s="1528"/>
      <c r="DC624" s="1528">
        <f t="shared" si="13"/>
        <v>0</v>
      </c>
      <c r="DD624" s="1528"/>
      <c r="DE624" s="1528"/>
      <c r="DF624" s="1528"/>
      <c r="DG624" s="1528"/>
      <c r="DH624" s="1528">
        <f t="shared" si="14"/>
        <v>0</v>
      </c>
      <c r="DI624" s="1528"/>
      <c r="DJ624" s="1528"/>
      <c r="DK624" s="1528"/>
      <c r="DL624" s="1528"/>
      <c r="DM624" s="1528">
        <f t="shared" si="15"/>
        <v>0</v>
      </c>
      <c r="DN624" s="1528"/>
      <c r="DO624" s="1528"/>
      <c r="DP624" s="1528"/>
      <c r="DQ624" s="1528"/>
      <c r="DR624" s="1528">
        <f t="shared" si="16"/>
        <v>0</v>
      </c>
      <c r="DS624" s="1528"/>
      <c r="DT624" s="1528"/>
      <c r="DU624" s="1528"/>
      <c r="DV624" s="1528"/>
      <c r="DX624" s="1523" t="str">
        <f t="shared" si="17"/>
        <v/>
      </c>
      <c r="DY624" s="1524"/>
      <c r="DZ624" s="1524"/>
      <c r="EA624" s="1524"/>
      <c r="EB624" s="1525"/>
      <c r="EC624" s="1523" t="str">
        <f t="shared" si="18"/>
        <v/>
      </c>
      <c r="ED624" s="1524"/>
      <c r="EE624" s="1524"/>
      <c r="EF624" s="1524"/>
      <c r="EG624" s="1525"/>
      <c r="EH624" s="1523" t="str">
        <f t="shared" si="19"/>
        <v/>
      </c>
      <c r="EI624" s="1524"/>
      <c r="EJ624" s="1524"/>
      <c r="EK624" s="1524"/>
      <c r="EL624" s="1525"/>
      <c r="EM624" s="1523" t="str">
        <f t="shared" si="20"/>
        <v/>
      </c>
      <c r="EN624" s="1524"/>
      <c r="EO624" s="1524"/>
      <c r="EP624" s="1524"/>
      <c r="EQ624" s="1525"/>
      <c r="ER624" s="1523" t="str">
        <f t="shared" si="21"/>
        <v/>
      </c>
      <c r="ES624" s="1524"/>
      <c r="ET624" s="1524"/>
      <c r="EU624" s="1524"/>
      <c r="EV624" s="1525"/>
      <c r="EW624" s="1523" t="str">
        <f t="shared" si="22"/>
        <v/>
      </c>
      <c r="EX624" s="1524"/>
      <c r="EY624" s="1524"/>
      <c r="EZ624" s="1524"/>
      <c r="FA624" s="1525"/>
    </row>
    <row r="625" spans="2:157" ht="13" customHeight="1">
      <c r="B625" s="1451"/>
      <c r="C625" s="1451"/>
      <c r="D625" s="1451"/>
      <c r="E625" s="1451"/>
      <c r="F625" s="1451"/>
      <c r="G625" s="1451"/>
      <c r="H625" s="1451"/>
      <c r="I625" s="1451"/>
      <c r="J625" s="1451"/>
      <c r="K625" s="1451"/>
      <c r="L625" s="1451"/>
      <c r="M625" s="1457"/>
      <c r="N625" s="1457"/>
      <c r="O625" s="1457"/>
      <c r="P625" s="1457"/>
      <c r="Q625" s="1457"/>
      <c r="R625" s="1457"/>
      <c r="S625" s="1457"/>
      <c r="T625" s="1457"/>
      <c r="U625" s="1457"/>
      <c r="V625" s="1457"/>
      <c r="W625" s="1480"/>
      <c r="X625" s="1480"/>
      <c r="Y625" s="1480"/>
      <c r="Z625" s="1494"/>
      <c r="AA625" s="1494"/>
      <c r="AB625" s="1495"/>
      <c r="AC625" s="1702"/>
      <c r="AD625" s="1703"/>
      <c r="AE625" s="1704"/>
      <c r="AF625" s="1720"/>
      <c r="AG625" s="1494"/>
      <c r="AH625" s="1494"/>
      <c r="AI625" s="1494"/>
      <c r="AJ625" s="1495"/>
      <c r="AK625" s="1643"/>
      <c r="AL625" s="1644"/>
      <c r="AM625" s="1644"/>
      <c r="AN625" s="1645"/>
      <c r="AO625" s="1457"/>
      <c r="AP625" s="1457"/>
      <c r="AQ625" s="1457"/>
      <c r="AR625" s="1457"/>
      <c r="AS625" s="1457"/>
      <c r="AU625" s="3"/>
      <c r="AZ625" s="3"/>
      <c r="BA625" s="3"/>
      <c r="BB625" s="3"/>
      <c r="BC625" s="3"/>
      <c r="BD625" s="3"/>
      <c r="BE625" s="1523">
        <f t="shared" si="1"/>
        <v>0</v>
      </c>
      <c r="BF625" s="1525"/>
      <c r="BG625" s="1531">
        <f t="shared" si="2"/>
        <v>0</v>
      </c>
      <c r="BH625" s="1532"/>
      <c r="BI625" s="1523">
        <f t="shared" si="3"/>
        <v>0</v>
      </c>
      <c r="BJ625" s="1525"/>
      <c r="BK625" s="1531">
        <f t="shared" si="4"/>
        <v>0</v>
      </c>
      <c r="BL625" s="1532"/>
      <c r="BM625" s="3"/>
      <c r="BN625" s="1517">
        <f t="shared" si="5"/>
        <v>0</v>
      </c>
      <c r="BO625" s="1518"/>
      <c r="BP625" s="1518"/>
      <c r="BQ625" s="1518"/>
      <c r="BR625" s="1519"/>
      <c r="BS625" s="1526">
        <f t="shared" si="6"/>
        <v>0</v>
      </c>
      <c r="BT625" s="1526"/>
      <c r="BU625" s="1526"/>
      <c r="BV625" s="1526"/>
      <c r="BW625" s="1526"/>
      <c r="BX625" s="1526">
        <f t="shared" si="7"/>
        <v>0</v>
      </c>
      <c r="BY625" s="1526"/>
      <c r="BZ625" s="1526"/>
      <c r="CA625" s="1526"/>
      <c r="CB625" s="1526"/>
      <c r="CC625" s="1526">
        <f t="shared" si="8"/>
        <v>0</v>
      </c>
      <c r="CD625" s="1526"/>
      <c r="CE625" s="1526"/>
      <c r="CF625" s="1526"/>
      <c r="CG625" s="1526"/>
      <c r="CH625" s="1526">
        <f t="shared" si="9"/>
        <v>0</v>
      </c>
      <c r="CI625" s="1526"/>
      <c r="CJ625" s="1526"/>
      <c r="CK625" s="1526"/>
      <c r="CL625" s="1526"/>
      <c r="CM625" s="1526">
        <f t="shared" si="10"/>
        <v>0</v>
      </c>
      <c r="CN625" s="1526"/>
      <c r="CO625" s="1526"/>
      <c r="CP625" s="1526"/>
      <c r="CQ625" s="1526"/>
      <c r="CR625" s="6"/>
      <c r="CS625" s="1528">
        <f t="shared" si="11"/>
        <v>0</v>
      </c>
      <c r="CT625" s="1528"/>
      <c r="CU625" s="1528"/>
      <c r="CV625" s="1528"/>
      <c r="CW625" s="1528"/>
      <c r="CX625" s="1528">
        <f t="shared" si="12"/>
        <v>0</v>
      </c>
      <c r="CY625" s="1528"/>
      <c r="CZ625" s="1528"/>
      <c r="DA625" s="1528"/>
      <c r="DB625" s="1528"/>
      <c r="DC625" s="1528">
        <f t="shared" si="13"/>
        <v>0</v>
      </c>
      <c r="DD625" s="1528"/>
      <c r="DE625" s="1528"/>
      <c r="DF625" s="1528"/>
      <c r="DG625" s="1528"/>
      <c r="DH625" s="1528">
        <f t="shared" si="14"/>
        <v>0</v>
      </c>
      <c r="DI625" s="1528"/>
      <c r="DJ625" s="1528"/>
      <c r="DK625" s="1528"/>
      <c r="DL625" s="1528"/>
      <c r="DM625" s="1528">
        <f t="shared" si="15"/>
        <v>0</v>
      </c>
      <c r="DN625" s="1528"/>
      <c r="DO625" s="1528"/>
      <c r="DP625" s="1528"/>
      <c r="DQ625" s="1528"/>
      <c r="DR625" s="1528">
        <f t="shared" si="16"/>
        <v>0</v>
      </c>
      <c r="DS625" s="1528"/>
      <c r="DT625" s="1528"/>
      <c r="DU625" s="1528"/>
      <c r="DV625" s="1528"/>
      <c r="DX625" s="1523" t="str">
        <f t="shared" si="17"/>
        <v/>
      </c>
      <c r="DY625" s="1524"/>
      <c r="DZ625" s="1524"/>
      <c r="EA625" s="1524"/>
      <c r="EB625" s="1525"/>
      <c r="EC625" s="1523" t="str">
        <f t="shared" si="18"/>
        <v/>
      </c>
      <c r="ED625" s="1524"/>
      <c r="EE625" s="1524"/>
      <c r="EF625" s="1524"/>
      <c r="EG625" s="1525"/>
      <c r="EH625" s="1523" t="str">
        <f t="shared" si="19"/>
        <v/>
      </c>
      <c r="EI625" s="1524"/>
      <c r="EJ625" s="1524"/>
      <c r="EK625" s="1524"/>
      <c r="EL625" s="1525"/>
      <c r="EM625" s="1523" t="str">
        <f t="shared" si="20"/>
        <v/>
      </c>
      <c r="EN625" s="1524"/>
      <c r="EO625" s="1524"/>
      <c r="EP625" s="1524"/>
      <c r="EQ625" s="1525"/>
      <c r="ER625" s="1523" t="str">
        <f t="shared" si="21"/>
        <v/>
      </c>
      <c r="ES625" s="1524"/>
      <c r="ET625" s="1524"/>
      <c r="EU625" s="1524"/>
      <c r="EV625" s="1525"/>
      <c r="EW625" s="1523" t="str">
        <f t="shared" si="22"/>
        <v/>
      </c>
      <c r="EX625" s="1524"/>
      <c r="EY625" s="1524"/>
      <c r="EZ625" s="1524"/>
      <c r="FA625" s="1525"/>
    </row>
    <row r="626" spans="2:157" ht="13" customHeight="1">
      <c r="B626" s="1451"/>
      <c r="C626" s="1451"/>
      <c r="D626" s="1451"/>
      <c r="E626" s="1451"/>
      <c r="F626" s="1451"/>
      <c r="G626" s="1451"/>
      <c r="H626" s="1451"/>
      <c r="I626" s="1451"/>
      <c r="J626" s="1451"/>
      <c r="K626" s="1451"/>
      <c r="L626" s="1451"/>
      <c r="M626" s="1457"/>
      <c r="N626" s="1457"/>
      <c r="O626" s="1457"/>
      <c r="P626" s="1457"/>
      <c r="Q626" s="1457"/>
      <c r="R626" s="1457"/>
      <c r="S626" s="1457"/>
      <c r="T626" s="1457"/>
      <c r="U626" s="1457"/>
      <c r="V626" s="1457"/>
      <c r="W626" s="1480"/>
      <c r="X626" s="1480"/>
      <c r="Y626" s="1480"/>
      <c r="Z626" s="1496"/>
      <c r="AA626" s="1496"/>
      <c r="AB626" s="1497"/>
      <c r="AC626" s="1705"/>
      <c r="AD626" s="1706"/>
      <c r="AE626" s="1707"/>
      <c r="AF626" s="1721"/>
      <c r="AG626" s="1496"/>
      <c r="AH626" s="1496"/>
      <c r="AI626" s="1496"/>
      <c r="AJ626" s="1497"/>
      <c r="AK626" s="1646"/>
      <c r="AL626" s="1647"/>
      <c r="AM626" s="1647"/>
      <c r="AN626" s="1648"/>
      <c r="AO626" s="1457"/>
      <c r="AP626" s="1457"/>
      <c r="AQ626" s="1457"/>
      <c r="AR626" s="1457"/>
      <c r="AS626" s="1457"/>
      <c r="AT626" s="3"/>
      <c r="AU626" s="3"/>
      <c r="AZ626" s="3"/>
      <c r="BA626" s="3"/>
      <c r="BB626" s="3"/>
      <c r="BC626" s="3"/>
      <c r="BD626" s="3"/>
      <c r="BE626" s="1523">
        <f t="shared" si="1"/>
        <v>0</v>
      </c>
      <c r="BF626" s="1525"/>
      <c r="BG626" s="1531">
        <f t="shared" si="2"/>
        <v>0</v>
      </c>
      <c r="BH626" s="1532"/>
      <c r="BI626" s="1523">
        <f t="shared" si="3"/>
        <v>0</v>
      </c>
      <c r="BJ626" s="1525"/>
      <c r="BK626" s="1531">
        <f t="shared" si="4"/>
        <v>0</v>
      </c>
      <c r="BL626" s="1532"/>
      <c r="BM626" s="3"/>
      <c r="BN626" s="1517">
        <f t="shared" si="5"/>
        <v>0</v>
      </c>
      <c r="BO626" s="1518"/>
      <c r="BP626" s="1518"/>
      <c r="BQ626" s="1518"/>
      <c r="BR626" s="1519"/>
      <c r="BS626" s="1526">
        <f t="shared" si="6"/>
        <v>0</v>
      </c>
      <c r="BT626" s="1526"/>
      <c r="BU626" s="1526"/>
      <c r="BV626" s="1526"/>
      <c r="BW626" s="1526"/>
      <c r="BX626" s="1526">
        <f t="shared" si="7"/>
        <v>0</v>
      </c>
      <c r="BY626" s="1526"/>
      <c r="BZ626" s="1526"/>
      <c r="CA626" s="1526"/>
      <c r="CB626" s="1526"/>
      <c r="CC626" s="1526">
        <f t="shared" si="8"/>
        <v>0</v>
      </c>
      <c r="CD626" s="1526"/>
      <c r="CE626" s="1526"/>
      <c r="CF626" s="1526"/>
      <c r="CG626" s="1526"/>
      <c r="CH626" s="1526">
        <f t="shared" si="9"/>
        <v>0</v>
      </c>
      <c r="CI626" s="1526"/>
      <c r="CJ626" s="1526"/>
      <c r="CK626" s="1526"/>
      <c r="CL626" s="1526"/>
      <c r="CM626" s="1526">
        <f t="shared" si="10"/>
        <v>0</v>
      </c>
      <c r="CN626" s="1526"/>
      <c r="CO626" s="1526"/>
      <c r="CP626" s="1526"/>
      <c r="CQ626" s="1526"/>
      <c r="CR626" s="6"/>
      <c r="CS626" s="1528">
        <f t="shared" si="11"/>
        <v>0</v>
      </c>
      <c r="CT626" s="1528"/>
      <c r="CU626" s="1528"/>
      <c r="CV626" s="1528"/>
      <c r="CW626" s="1528"/>
      <c r="CX626" s="1528">
        <f t="shared" si="12"/>
        <v>0</v>
      </c>
      <c r="CY626" s="1528"/>
      <c r="CZ626" s="1528"/>
      <c r="DA626" s="1528"/>
      <c r="DB626" s="1528"/>
      <c r="DC626" s="1528">
        <f t="shared" si="13"/>
        <v>0</v>
      </c>
      <c r="DD626" s="1528"/>
      <c r="DE626" s="1528"/>
      <c r="DF626" s="1528"/>
      <c r="DG626" s="1528"/>
      <c r="DH626" s="1528">
        <f t="shared" si="14"/>
        <v>0</v>
      </c>
      <c r="DI626" s="1528"/>
      <c r="DJ626" s="1528"/>
      <c r="DK626" s="1528"/>
      <c r="DL626" s="1528"/>
      <c r="DM626" s="1528">
        <f t="shared" si="15"/>
        <v>0</v>
      </c>
      <c r="DN626" s="1528"/>
      <c r="DO626" s="1528"/>
      <c r="DP626" s="1528"/>
      <c r="DQ626" s="1528"/>
      <c r="DR626" s="1528">
        <f t="shared" si="16"/>
        <v>0</v>
      </c>
      <c r="DS626" s="1528"/>
      <c r="DT626" s="1528"/>
      <c r="DU626" s="1528"/>
      <c r="DV626" s="1528"/>
      <c r="DX626" s="1523" t="str">
        <f t="shared" si="17"/>
        <v/>
      </c>
      <c r="DY626" s="1524"/>
      <c r="DZ626" s="1524"/>
      <c r="EA626" s="1524"/>
      <c r="EB626" s="1525"/>
      <c r="EC626" s="1523" t="str">
        <f t="shared" si="18"/>
        <v/>
      </c>
      <c r="ED626" s="1524"/>
      <c r="EE626" s="1524"/>
      <c r="EF626" s="1524"/>
      <c r="EG626" s="1525"/>
      <c r="EH626" s="1523" t="str">
        <f t="shared" si="19"/>
        <v/>
      </c>
      <c r="EI626" s="1524"/>
      <c r="EJ626" s="1524"/>
      <c r="EK626" s="1524"/>
      <c r="EL626" s="1525"/>
      <c r="EM626" s="1523" t="str">
        <f t="shared" si="20"/>
        <v/>
      </c>
      <c r="EN626" s="1524"/>
      <c r="EO626" s="1524"/>
      <c r="EP626" s="1524"/>
      <c r="EQ626" s="1525"/>
      <c r="ER626" s="1523" t="str">
        <f t="shared" si="21"/>
        <v/>
      </c>
      <c r="ES626" s="1524"/>
      <c r="ET626" s="1524"/>
      <c r="EU626" s="1524"/>
      <c r="EV626" s="1525"/>
      <c r="EW626" s="1523" t="str">
        <f t="shared" si="22"/>
        <v/>
      </c>
      <c r="EX626" s="1524"/>
      <c r="EY626" s="1524"/>
      <c r="EZ626" s="1524"/>
      <c r="FA626" s="1525"/>
    </row>
    <row r="627" spans="2:157" ht="13" customHeight="1">
      <c r="B627" s="51" t="s">
        <v>112</v>
      </c>
      <c r="C627" s="1488" t="s">
        <v>2724</v>
      </c>
      <c r="D627" s="1488"/>
      <c r="E627" s="1488"/>
      <c r="F627" s="1488"/>
      <c r="G627" s="1488"/>
      <c r="H627" s="1488"/>
      <c r="I627" s="1488"/>
      <c r="J627" s="1488"/>
      <c r="K627" s="1488"/>
      <c r="L627" s="1488"/>
      <c r="M627" s="1458" t="s">
        <v>2439</v>
      </c>
      <c r="N627" s="1458"/>
      <c r="O627" s="1458"/>
      <c r="P627" s="1458"/>
      <c r="Q627" s="1452">
        <f>12*17</f>
        <v>204</v>
      </c>
      <c r="R627" s="1452"/>
      <c r="S627" s="1453"/>
      <c r="T627" s="1454">
        <f>35*12</f>
        <v>420</v>
      </c>
      <c r="U627" s="1452"/>
      <c r="V627" s="1453"/>
      <c r="W627" s="1484">
        <v>6.9940000000000002E-2</v>
      </c>
      <c r="X627" s="1485"/>
      <c r="Y627" s="1486"/>
      <c r="Z627" s="1489" t="s">
        <v>2451</v>
      </c>
      <c r="AA627" s="1490"/>
      <c r="AB627" s="1491"/>
      <c r="AC627" s="1481">
        <v>1</v>
      </c>
      <c r="AD627" s="1482"/>
      <c r="AE627" s="1483"/>
      <c r="AF627" s="1477">
        <f>635114-6139</f>
        <v>628975</v>
      </c>
      <c r="AG627" s="1478"/>
      <c r="AH627" s="1478"/>
      <c r="AI627" s="1478"/>
      <c r="AJ627" s="1479"/>
      <c r="AK627" s="1431"/>
      <c r="AL627" s="1432"/>
      <c r="AM627" s="1432"/>
      <c r="AN627" s="1433"/>
      <c r="AO627" s="1530">
        <v>8277000</v>
      </c>
      <c r="AP627" s="1530"/>
      <c r="AQ627" s="1530"/>
      <c r="AR627" s="1530"/>
      <c r="AS627" s="1530"/>
      <c r="AT627" s="3"/>
      <c r="AU627" s="3"/>
      <c r="AZ627" s="3"/>
      <c r="BA627" s="3"/>
      <c r="BB627" s="3"/>
      <c r="BC627" s="3"/>
      <c r="BD627" s="3"/>
      <c r="BE627" s="1523">
        <f t="shared" si="1"/>
        <v>0</v>
      </c>
      <c r="BF627" s="1525"/>
      <c r="BG627" s="1531">
        <f t="shared" si="2"/>
        <v>0</v>
      </c>
      <c r="BH627" s="1532"/>
      <c r="BI627" s="1523">
        <f t="shared" si="3"/>
        <v>0</v>
      </c>
      <c r="BJ627" s="1525"/>
      <c r="BK627" s="1531">
        <f t="shared" si="4"/>
        <v>0</v>
      </c>
      <c r="BL627" s="1532"/>
      <c r="BM627" s="3"/>
      <c r="BN627" s="1517">
        <f t="shared" si="5"/>
        <v>0</v>
      </c>
      <c r="BO627" s="1518"/>
      <c r="BP627" s="1518"/>
      <c r="BQ627" s="1518"/>
      <c r="BR627" s="1519"/>
      <c r="BS627" s="1526">
        <f t="shared" si="6"/>
        <v>0</v>
      </c>
      <c r="BT627" s="1526"/>
      <c r="BU627" s="1526"/>
      <c r="BV627" s="1526"/>
      <c r="BW627" s="1526"/>
      <c r="BX627" s="1526">
        <f t="shared" si="7"/>
        <v>0</v>
      </c>
      <c r="BY627" s="1526"/>
      <c r="BZ627" s="1526"/>
      <c r="CA627" s="1526"/>
      <c r="CB627" s="1526"/>
      <c r="CC627" s="1526">
        <f t="shared" si="8"/>
        <v>0</v>
      </c>
      <c r="CD627" s="1526"/>
      <c r="CE627" s="1526"/>
      <c r="CF627" s="1526"/>
      <c r="CG627" s="1526"/>
      <c r="CH627" s="1526">
        <f t="shared" si="9"/>
        <v>0</v>
      </c>
      <c r="CI627" s="1526"/>
      <c r="CJ627" s="1526"/>
      <c r="CK627" s="1526"/>
      <c r="CL627" s="1526"/>
      <c r="CM627" s="1526">
        <f t="shared" si="10"/>
        <v>0</v>
      </c>
      <c r="CN627" s="1526"/>
      <c r="CO627" s="1526"/>
      <c r="CP627" s="1526"/>
      <c r="CQ627" s="1526"/>
      <c r="CR627" s="6"/>
      <c r="CS627" s="1528">
        <f t="shared" si="11"/>
        <v>0</v>
      </c>
      <c r="CT627" s="1528"/>
      <c r="CU627" s="1528"/>
      <c r="CV627" s="1528"/>
      <c r="CW627" s="1528"/>
      <c r="CX627" s="1528">
        <f t="shared" si="12"/>
        <v>0</v>
      </c>
      <c r="CY627" s="1528"/>
      <c r="CZ627" s="1528"/>
      <c r="DA627" s="1528"/>
      <c r="DB627" s="1528"/>
      <c r="DC627" s="1528">
        <f t="shared" si="13"/>
        <v>0</v>
      </c>
      <c r="DD627" s="1528"/>
      <c r="DE627" s="1528"/>
      <c r="DF627" s="1528"/>
      <c r="DG627" s="1528"/>
      <c r="DH627" s="1528">
        <f t="shared" si="14"/>
        <v>0</v>
      </c>
      <c r="DI627" s="1528"/>
      <c r="DJ627" s="1528"/>
      <c r="DK627" s="1528"/>
      <c r="DL627" s="1528"/>
      <c r="DM627" s="1528">
        <f t="shared" si="15"/>
        <v>0</v>
      </c>
      <c r="DN627" s="1528"/>
      <c r="DO627" s="1528"/>
      <c r="DP627" s="1528"/>
      <c r="DQ627" s="1528"/>
      <c r="DR627" s="1528">
        <f t="shared" si="16"/>
        <v>0</v>
      </c>
      <c r="DS627" s="1528"/>
      <c r="DT627" s="1528"/>
      <c r="DU627" s="1528"/>
      <c r="DV627" s="1528"/>
      <c r="DX627" s="1523" t="str">
        <f t="shared" si="17"/>
        <v/>
      </c>
      <c r="DY627" s="1524"/>
      <c r="DZ627" s="1524"/>
      <c r="EA627" s="1524"/>
      <c r="EB627" s="1525"/>
      <c r="EC627" s="1523" t="str">
        <f t="shared" si="18"/>
        <v/>
      </c>
      <c r="ED627" s="1524"/>
      <c r="EE627" s="1524"/>
      <c r="EF627" s="1524"/>
      <c r="EG627" s="1525"/>
      <c r="EH627" s="1523" t="str">
        <f t="shared" si="19"/>
        <v/>
      </c>
      <c r="EI627" s="1524"/>
      <c r="EJ627" s="1524"/>
      <c r="EK627" s="1524"/>
      <c r="EL627" s="1525"/>
      <c r="EM627" s="1523" t="str">
        <f t="shared" si="20"/>
        <v/>
      </c>
      <c r="EN627" s="1524"/>
      <c r="EO627" s="1524"/>
      <c r="EP627" s="1524"/>
      <c r="EQ627" s="1525"/>
      <c r="ER627" s="1523" t="str">
        <f t="shared" si="21"/>
        <v/>
      </c>
      <c r="ES627" s="1524"/>
      <c r="ET627" s="1524"/>
      <c r="EU627" s="1524"/>
      <c r="EV627" s="1525"/>
      <c r="EW627" s="1523" t="str">
        <f t="shared" si="22"/>
        <v/>
      </c>
      <c r="EX627" s="1524"/>
      <c r="EY627" s="1524"/>
      <c r="EZ627" s="1524"/>
      <c r="FA627" s="1525"/>
    </row>
    <row r="628" spans="2:157" ht="13" customHeight="1">
      <c r="B628" s="52" t="s">
        <v>113</v>
      </c>
      <c r="C628" s="1488" t="str">
        <f>C555</f>
        <v>HCD Housing Development Fund</v>
      </c>
      <c r="D628" s="1488"/>
      <c r="E628" s="1488"/>
      <c r="F628" s="1488"/>
      <c r="G628" s="1488"/>
      <c r="H628" s="1488"/>
      <c r="I628" s="1488"/>
      <c r="J628" s="1488"/>
      <c r="K628" s="1488"/>
      <c r="L628" s="1488"/>
      <c r="M628" s="1458" t="s">
        <v>2432</v>
      </c>
      <c r="N628" s="1458"/>
      <c r="O628" s="1458"/>
      <c r="P628" s="1458"/>
      <c r="Q628" s="1454"/>
      <c r="R628" s="1452"/>
      <c r="S628" s="1453"/>
      <c r="T628" s="1454"/>
      <c r="U628" s="1452"/>
      <c r="V628" s="1453"/>
      <c r="W628" s="1484"/>
      <c r="X628" s="1485"/>
      <c r="Y628" s="1486"/>
      <c r="Z628" s="1489" t="s">
        <v>300</v>
      </c>
      <c r="AA628" s="1490"/>
      <c r="AB628" s="1491"/>
      <c r="AC628" s="1481"/>
      <c r="AD628" s="1482"/>
      <c r="AE628" s="1483"/>
      <c r="AF628" s="1477"/>
      <c r="AG628" s="1478"/>
      <c r="AH628" s="1478"/>
      <c r="AI628" s="1478"/>
      <c r="AJ628" s="1479"/>
      <c r="AK628" s="1431"/>
      <c r="AL628" s="1432"/>
      <c r="AM628" s="1432"/>
      <c r="AN628" s="1433"/>
      <c r="AO628" s="1428">
        <f>AM555</f>
        <v>3000000</v>
      </c>
      <c r="AP628" s="1429"/>
      <c r="AQ628" s="1429"/>
      <c r="AR628" s="1429"/>
      <c r="AS628" s="1430"/>
      <c r="AT628" s="1192" t="str">
        <f>IF(AND(NOT(C627=""),C628="",NOT(C629="")),"!","")</f>
        <v/>
      </c>
      <c r="AU628" s="3"/>
      <c r="AZ628" s="3"/>
      <c r="BA628" s="3"/>
      <c r="BB628" s="3"/>
      <c r="BC628" s="3"/>
      <c r="BD628" s="3"/>
      <c r="BE628" s="1523">
        <f t="shared" si="1"/>
        <v>0</v>
      </c>
      <c r="BF628" s="1525"/>
      <c r="BG628" s="1531">
        <f t="shared" si="2"/>
        <v>0</v>
      </c>
      <c r="BH628" s="1532"/>
      <c r="BI628" s="1523">
        <f t="shared" si="3"/>
        <v>0</v>
      </c>
      <c r="BJ628" s="1525"/>
      <c r="BK628" s="1531">
        <f t="shared" si="4"/>
        <v>0</v>
      </c>
      <c r="BL628" s="1532"/>
      <c r="BM628" s="3"/>
      <c r="BN628" s="1517">
        <f t="shared" si="5"/>
        <v>0</v>
      </c>
      <c r="BO628" s="1518"/>
      <c r="BP628" s="1518"/>
      <c r="BQ628" s="1518"/>
      <c r="BR628" s="1519"/>
      <c r="BS628" s="1526">
        <f t="shared" si="6"/>
        <v>0</v>
      </c>
      <c r="BT628" s="1526"/>
      <c r="BU628" s="1526"/>
      <c r="BV628" s="1526"/>
      <c r="BW628" s="1526"/>
      <c r="BX628" s="1526">
        <f t="shared" si="7"/>
        <v>0</v>
      </c>
      <c r="BY628" s="1526"/>
      <c r="BZ628" s="1526"/>
      <c r="CA628" s="1526"/>
      <c r="CB628" s="1526"/>
      <c r="CC628" s="1526">
        <f t="shared" si="8"/>
        <v>0</v>
      </c>
      <c r="CD628" s="1526"/>
      <c r="CE628" s="1526"/>
      <c r="CF628" s="1526"/>
      <c r="CG628" s="1526"/>
      <c r="CH628" s="1526">
        <f t="shared" si="9"/>
        <v>0</v>
      </c>
      <c r="CI628" s="1526"/>
      <c r="CJ628" s="1526"/>
      <c r="CK628" s="1526"/>
      <c r="CL628" s="1526"/>
      <c r="CM628" s="1526">
        <f t="shared" si="10"/>
        <v>0</v>
      </c>
      <c r="CN628" s="1526"/>
      <c r="CO628" s="1526"/>
      <c r="CP628" s="1526"/>
      <c r="CQ628" s="1526"/>
      <c r="CR628" s="6"/>
      <c r="CS628" s="1528">
        <f t="shared" si="11"/>
        <v>0</v>
      </c>
      <c r="CT628" s="1528"/>
      <c r="CU628" s="1528"/>
      <c r="CV628" s="1528"/>
      <c r="CW628" s="1528"/>
      <c r="CX628" s="1528">
        <f t="shared" si="12"/>
        <v>0</v>
      </c>
      <c r="CY628" s="1528"/>
      <c r="CZ628" s="1528"/>
      <c r="DA628" s="1528"/>
      <c r="DB628" s="1528"/>
      <c r="DC628" s="1528">
        <f t="shared" si="13"/>
        <v>0</v>
      </c>
      <c r="DD628" s="1528"/>
      <c r="DE628" s="1528"/>
      <c r="DF628" s="1528"/>
      <c r="DG628" s="1528"/>
      <c r="DH628" s="1528">
        <f t="shared" si="14"/>
        <v>0</v>
      </c>
      <c r="DI628" s="1528"/>
      <c r="DJ628" s="1528"/>
      <c r="DK628" s="1528"/>
      <c r="DL628" s="1528"/>
      <c r="DM628" s="1528">
        <f t="shared" si="15"/>
        <v>0</v>
      </c>
      <c r="DN628" s="1528"/>
      <c r="DO628" s="1528"/>
      <c r="DP628" s="1528"/>
      <c r="DQ628" s="1528"/>
      <c r="DR628" s="1528">
        <f t="shared" si="16"/>
        <v>0</v>
      </c>
      <c r="DS628" s="1528"/>
      <c r="DT628" s="1528"/>
      <c r="DU628" s="1528"/>
      <c r="DV628" s="1528"/>
      <c r="DX628" s="1523" t="str">
        <f t="shared" si="17"/>
        <v/>
      </c>
      <c r="DY628" s="1524"/>
      <c r="DZ628" s="1524"/>
      <c r="EA628" s="1524"/>
      <c r="EB628" s="1525"/>
      <c r="EC628" s="1523" t="str">
        <f t="shared" si="18"/>
        <v/>
      </c>
      <c r="ED628" s="1524"/>
      <c r="EE628" s="1524"/>
      <c r="EF628" s="1524"/>
      <c r="EG628" s="1525"/>
      <c r="EH628" s="1523" t="str">
        <f t="shared" si="19"/>
        <v/>
      </c>
      <c r="EI628" s="1524"/>
      <c r="EJ628" s="1524"/>
      <c r="EK628" s="1524"/>
      <c r="EL628" s="1525"/>
      <c r="EM628" s="1523" t="str">
        <f t="shared" si="20"/>
        <v/>
      </c>
      <c r="EN628" s="1524"/>
      <c r="EO628" s="1524"/>
      <c r="EP628" s="1524"/>
      <c r="EQ628" s="1525"/>
      <c r="ER628" s="1523" t="str">
        <f t="shared" si="21"/>
        <v/>
      </c>
      <c r="ES628" s="1524"/>
      <c r="ET628" s="1524"/>
      <c r="EU628" s="1524"/>
      <c r="EV628" s="1525"/>
      <c r="EW628" s="1523" t="str">
        <f t="shared" si="22"/>
        <v/>
      </c>
      <c r="EX628" s="1524"/>
      <c r="EY628" s="1524"/>
      <c r="EZ628" s="1524"/>
      <c r="FA628" s="1525"/>
    </row>
    <row r="629" spans="2:157" ht="13" customHeight="1">
      <c r="B629" s="52" t="s">
        <v>119</v>
      </c>
      <c r="C629" s="1488" t="s">
        <v>2717</v>
      </c>
      <c r="D629" s="1488"/>
      <c r="E629" s="1488"/>
      <c r="F629" s="1488"/>
      <c r="G629" s="1488"/>
      <c r="H629" s="1488"/>
      <c r="I629" s="1488"/>
      <c r="J629" s="1488"/>
      <c r="K629" s="1488"/>
      <c r="L629" s="1488"/>
      <c r="M629" s="1458" t="s">
        <v>1290</v>
      </c>
      <c r="N629" s="1458"/>
      <c r="O629" s="1458"/>
      <c r="P629" s="1458"/>
      <c r="Q629" s="1454"/>
      <c r="R629" s="1452"/>
      <c r="S629" s="1453"/>
      <c r="T629" s="1454"/>
      <c r="U629" s="1452"/>
      <c r="V629" s="1453"/>
      <c r="W629" s="1484"/>
      <c r="X629" s="1485"/>
      <c r="Y629" s="1486"/>
      <c r="Z629" s="1489" t="s">
        <v>300</v>
      </c>
      <c r="AA629" s="1490"/>
      <c r="AB629" s="1491"/>
      <c r="AC629" s="1481"/>
      <c r="AD629" s="1482"/>
      <c r="AE629" s="1483"/>
      <c r="AF629" s="1477"/>
      <c r="AG629" s="1478"/>
      <c r="AH629" s="1478"/>
      <c r="AI629" s="1478"/>
      <c r="AJ629" s="1479"/>
      <c r="AK629" s="1431"/>
      <c r="AL629" s="1432"/>
      <c r="AM629" s="1432"/>
      <c r="AN629" s="1433"/>
      <c r="AO629" s="1428">
        <v>6529529</v>
      </c>
      <c r="AP629" s="1429"/>
      <c r="AQ629" s="1429"/>
      <c r="AR629" s="1429"/>
      <c r="AS629" s="1430"/>
      <c r="AT629" s="1192" t="str">
        <f t="shared" ref="AT629:AT638" si="23">IF(AND(NOT(C628=""),C629="",NOT(C630="")),"!","")</f>
        <v/>
      </c>
      <c r="AU629" s="3"/>
      <c r="AZ629" s="3"/>
      <c r="BA629" s="3"/>
      <c r="BB629" s="3"/>
      <c r="BC629" s="3"/>
      <c r="BD629" s="3"/>
      <c r="BE629" s="1523">
        <f t="shared" si="1"/>
        <v>0</v>
      </c>
      <c r="BF629" s="1525"/>
      <c r="BG629" s="1531">
        <f t="shared" si="2"/>
        <v>0</v>
      </c>
      <c r="BH629" s="1532"/>
      <c r="BI629" s="1523">
        <f t="shared" si="3"/>
        <v>0</v>
      </c>
      <c r="BJ629" s="1525"/>
      <c r="BK629" s="1531">
        <f t="shared" si="4"/>
        <v>0</v>
      </c>
      <c r="BL629" s="1532"/>
      <c r="BM629" s="3"/>
      <c r="BN629" s="1517">
        <f t="shared" si="5"/>
        <v>0</v>
      </c>
      <c r="BO629" s="1518"/>
      <c r="BP629" s="1518"/>
      <c r="BQ629" s="1518"/>
      <c r="BR629" s="1519"/>
      <c r="BS629" s="1526">
        <f t="shared" si="6"/>
        <v>0</v>
      </c>
      <c r="BT629" s="1526"/>
      <c r="BU629" s="1526"/>
      <c r="BV629" s="1526"/>
      <c r="BW629" s="1526"/>
      <c r="BX629" s="1526">
        <f t="shared" si="7"/>
        <v>0</v>
      </c>
      <c r="BY629" s="1526"/>
      <c r="BZ629" s="1526"/>
      <c r="CA629" s="1526"/>
      <c r="CB629" s="1526"/>
      <c r="CC629" s="1526">
        <f t="shared" si="8"/>
        <v>0</v>
      </c>
      <c r="CD629" s="1526"/>
      <c r="CE629" s="1526"/>
      <c r="CF629" s="1526"/>
      <c r="CG629" s="1526"/>
      <c r="CH629" s="1526">
        <f t="shared" si="9"/>
        <v>0</v>
      </c>
      <c r="CI629" s="1526"/>
      <c r="CJ629" s="1526"/>
      <c r="CK629" s="1526"/>
      <c r="CL629" s="1526"/>
      <c r="CM629" s="1526">
        <f t="shared" si="10"/>
        <v>0</v>
      </c>
      <c r="CN629" s="1526"/>
      <c r="CO629" s="1526"/>
      <c r="CP629" s="1526"/>
      <c r="CQ629" s="1526"/>
      <c r="CR629" s="6"/>
      <c r="CS629" s="1528">
        <f t="shared" si="11"/>
        <v>0</v>
      </c>
      <c r="CT629" s="1528"/>
      <c r="CU629" s="1528"/>
      <c r="CV629" s="1528"/>
      <c r="CW629" s="1528"/>
      <c r="CX629" s="1528">
        <f t="shared" si="12"/>
        <v>0</v>
      </c>
      <c r="CY629" s="1528"/>
      <c r="CZ629" s="1528"/>
      <c r="DA629" s="1528"/>
      <c r="DB629" s="1528"/>
      <c r="DC629" s="1528">
        <f t="shared" si="13"/>
        <v>0</v>
      </c>
      <c r="DD629" s="1528"/>
      <c r="DE629" s="1528"/>
      <c r="DF629" s="1528"/>
      <c r="DG629" s="1528"/>
      <c r="DH629" s="1528">
        <f t="shared" si="14"/>
        <v>0</v>
      </c>
      <c r="DI629" s="1528"/>
      <c r="DJ629" s="1528"/>
      <c r="DK629" s="1528"/>
      <c r="DL629" s="1528"/>
      <c r="DM629" s="1528">
        <f t="shared" si="15"/>
        <v>0</v>
      </c>
      <c r="DN629" s="1528"/>
      <c r="DO629" s="1528"/>
      <c r="DP629" s="1528"/>
      <c r="DQ629" s="1528"/>
      <c r="DR629" s="1528">
        <f t="shared" si="16"/>
        <v>0</v>
      </c>
      <c r="DS629" s="1528"/>
      <c r="DT629" s="1528"/>
      <c r="DU629" s="1528"/>
      <c r="DV629" s="1528"/>
      <c r="DX629" s="1523" t="str">
        <f t="shared" si="17"/>
        <v/>
      </c>
      <c r="DY629" s="1524"/>
      <c r="DZ629" s="1524"/>
      <c r="EA629" s="1524"/>
      <c r="EB629" s="1525"/>
      <c r="EC629" s="1523" t="str">
        <f t="shared" si="18"/>
        <v/>
      </c>
      <c r="ED629" s="1524"/>
      <c r="EE629" s="1524"/>
      <c r="EF629" s="1524"/>
      <c r="EG629" s="1525"/>
      <c r="EH629" s="1523" t="str">
        <f t="shared" si="19"/>
        <v/>
      </c>
      <c r="EI629" s="1524"/>
      <c r="EJ629" s="1524"/>
      <c r="EK629" s="1524"/>
      <c r="EL629" s="1525"/>
      <c r="EM629" s="1523" t="str">
        <f t="shared" si="20"/>
        <v/>
      </c>
      <c r="EN629" s="1524"/>
      <c r="EO629" s="1524"/>
      <c r="EP629" s="1524"/>
      <c r="EQ629" s="1525"/>
      <c r="ER629" s="1523" t="str">
        <f t="shared" si="21"/>
        <v/>
      </c>
      <c r="ES629" s="1524"/>
      <c r="ET629" s="1524"/>
      <c r="EU629" s="1524"/>
      <c r="EV629" s="1525"/>
      <c r="EW629" s="1523" t="str">
        <f t="shared" si="22"/>
        <v/>
      </c>
      <c r="EX629" s="1524"/>
      <c r="EY629" s="1524"/>
      <c r="EZ629" s="1524"/>
      <c r="FA629" s="1525"/>
    </row>
    <row r="630" spans="2:157" ht="13" customHeight="1">
      <c r="B630" s="52" t="s">
        <v>589</v>
      </c>
      <c r="C630" s="1456" t="str">
        <f>C559</f>
        <v>Deferred Developer Fee</v>
      </c>
      <c r="D630" s="1456"/>
      <c r="E630" s="1456"/>
      <c r="F630" s="1456"/>
      <c r="G630" s="1456"/>
      <c r="H630" s="1456"/>
      <c r="I630" s="1456"/>
      <c r="J630" s="1456"/>
      <c r="K630" s="1456"/>
      <c r="L630" s="1456"/>
      <c r="M630" s="1458" t="s">
        <v>1290</v>
      </c>
      <c r="N630" s="1458"/>
      <c r="O630" s="1458"/>
      <c r="P630" s="1458"/>
      <c r="Q630" s="1454"/>
      <c r="R630" s="1452"/>
      <c r="S630" s="1453"/>
      <c r="T630" s="1454"/>
      <c r="U630" s="1452"/>
      <c r="V630" s="1453"/>
      <c r="W630" s="1484"/>
      <c r="X630" s="1485"/>
      <c r="Y630" s="1486"/>
      <c r="Z630" s="1489" t="s">
        <v>300</v>
      </c>
      <c r="AA630" s="1490"/>
      <c r="AB630" s="1491"/>
      <c r="AC630" s="1481"/>
      <c r="AD630" s="1482"/>
      <c r="AE630" s="1483"/>
      <c r="AF630" s="1477"/>
      <c r="AG630" s="1478"/>
      <c r="AH630" s="1478"/>
      <c r="AI630" s="1478"/>
      <c r="AJ630" s="1479"/>
      <c r="AK630" s="1431"/>
      <c r="AL630" s="1432"/>
      <c r="AM630" s="1432"/>
      <c r="AN630" s="1433"/>
      <c r="AO630" s="1428">
        <f>AM559</f>
        <v>3734263</v>
      </c>
      <c r="AP630" s="1429"/>
      <c r="AQ630" s="1429"/>
      <c r="AR630" s="1429"/>
      <c r="AS630" s="1430"/>
      <c r="AT630" s="1192" t="str">
        <f t="shared" si="23"/>
        <v/>
      </c>
      <c r="AU630" s="3"/>
      <c r="AZ630" s="3"/>
      <c r="BA630" s="3"/>
      <c r="BB630" s="3"/>
      <c r="BC630" s="3"/>
      <c r="BD630" s="3"/>
      <c r="BE630" s="1523">
        <f t="shared" si="1"/>
        <v>0</v>
      </c>
      <c r="BF630" s="1525"/>
      <c r="BG630" s="1531">
        <f t="shared" si="2"/>
        <v>0</v>
      </c>
      <c r="BH630" s="1532"/>
      <c r="BI630" s="1523">
        <f t="shared" si="3"/>
        <v>0</v>
      </c>
      <c r="BJ630" s="1525"/>
      <c r="BK630" s="1531">
        <f t="shared" si="4"/>
        <v>0</v>
      </c>
      <c r="BL630" s="1532"/>
      <c r="BM630" s="3"/>
      <c r="BN630" s="1517">
        <f t="shared" si="5"/>
        <v>0</v>
      </c>
      <c r="BO630" s="1518"/>
      <c r="BP630" s="1518"/>
      <c r="BQ630" s="1518"/>
      <c r="BR630" s="1519"/>
      <c r="BS630" s="1526">
        <f t="shared" si="6"/>
        <v>0</v>
      </c>
      <c r="BT630" s="1526"/>
      <c r="BU630" s="1526"/>
      <c r="BV630" s="1526"/>
      <c r="BW630" s="1526"/>
      <c r="BX630" s="1526">
        <f t="shared" si="7"/>
        <v>0</v>
      </c>
      <c r="BY630" s="1526"/>
      <c r="BZ630" s="1526"/>
      <c r="CA630" s="1526"/>
      <c r="CB630" s="1526"/>
      <c r="CC630" s="1526">
        <f t="shared" si="8"/>
        <v>0</v>
      </c>
      <c r="CD630" s="1526"/>
      <c r="CE630" s="1526"/>
      <c r="CF630" s="1526"/>
      <c r="CG630" s="1526"/>
      <c r="CH630" s="1526">
        <f t="shared" si="9"/>
        <v>0</v>
      </c>
      <c r="CI630" s="1526"/>
      <c r="CJ630" s="1526"/>
      <c r="CK630" s="1526"/>
      <c r="CL630" s="1526"/>
      <c r="CM630" s="1526">
        <f t="shared" si="10"/>
        <v>0</v>
      </c>
      <c r="CN630" s="1526"/>
      <c r="CO630" s="1526"/>
      <c r="CP630" s="1526"/>
      <c r="CQ630" s="1526"/>
      <c r="CR630" s="6"/>
      <c r="CS630" s="1528">
        <f t="shared" si="11"/>
        <v>0</v>
      </c>
      <c r="CT630" s="1528"/>
      <c r="CU630" s="1528"/>
      <c r="CV630" s="1528"/>
      <c r="CW630" s="1528"/>
      <c r="CX630" s="1528">
        <f t="shared" si="12"/>
        <v>0</v>
      </c>
      <c r="CY630" s="1528"/>
      <c r="CZ630" s="1528"/>
      <c r="DA630" s="1528"/>
      <c r="DB630" s="1528"/>
      <c r="DC630" s="1528">
        <f t="shared" si="13"/>
        <v>0</v>
      </c>
      <c r="DD630" s="1528"/>
      <c r="DE630" s="1528"/>
      <c r="DF630" s="1528"/>
      <c r="DG630" s="1528"/>
      <c r="DH630" s="1528">
        <f t="shared" si="14"/>
        <v>0</v>
      </c>
      <c r="DI630" s="1528"/>
      <c r="DJ630" s="1528"/>
      <c r="DK630" s="1528"/>
      <c r="DL630" s="1528"/>
      <c r="DM630" s="1528">
        <f t="shared" si="15"/>
        <v>0</v>
      </c>
      <c r="DN630" s="1528"/>
      <c r="DO630" s="1528"/>
      <c r="DP630" s="1528"/>
      <c r="DQ630" s="1528"/>
      <c r="DR630" s="1528">
        <f t="shared" si="16"/>
        <v>0</v>
      </c>
      <c r="DS630" s="1528"/>
      <c r="DT630" s="1528"/>
      <c r="DU630" s="1528"/>
      <c r="DV630" s="1528"/>
      <c r="DX630" s="1523" t="str">
        <f t="shared" si="17"/>
        <v/>
      </c>
      <c r="DY630" s="1524"/>
      <c r="DZ630" s="1524"/>
      <c r="EA630" s="1524"/>
      <c r="EB630" s="1525"/>
      <c r="EC630" s="1523" t="str">
        <f t="shared" si="18"/>
        <v/>
      </c>
      <c r="ED630" s="1524"/>
      <c r="EE630" s="1524"/>
      <c r="EF630" s="1524"/>
      <c r="EG630" s="1525"/>
      <c r="EH630" s="1523" t="str">
        <f t="shared" si="19"/>
        <v/>
      </c>
      <c r="EI630" s="1524"/>
      <c r="EJ630" s="1524"/>
      <c r="EK630" s="1524"/>
      <c r="EL630" s="1525"/>
      <c r="EM630" s="1523" t="str">
        <f t="shared" si="20"/>
        <v/>
      </c>
      <c r="EN630" s="1524"/>
      <c r="EO630" s="1524"/>
      <c r="EP630" s="1524"/>
      <c r="EQ630" s="1525"/>
      <c r="ER630" s="1523" t="str">
        <f t="shared" si="21"/>
        <v/>
      </c>
      <c r="ES630" s="1524"/>
      <c r="ET630" s="1524"/>
      <c r="EU630" s="1524"/>
      <c r="EV630" s="1525"/>
      <c r="EW630" s="1523" t="str">
        <f t="shared" si="22"/>
        <v/>
      </c>
      <c r="EX630" s="1524"/>
      <c r="EY630" s="1524"/>
      <c r="EZ630" s="1524"/>
      <c r="FA630" s="1525"/>
    </row>
    <row r="631" spans="2:157" ht="13" customHeight="1">
      <c r="B631" s="52" t="s">
        <v>772</v>
      </c>
      <c r="C631" s="1456"/>
      <c r="D631" s="1456"/>
      <c r="E631" s="1456"/>
      <c r="F631" s="1456"/>
      <c r="G631" s="1456"/>
      <c r="H631" s="1456"/>
      <c r="I631" s="1456"/>
      <c r="J631" s="1456"/>
      <c r="K631" s="1456"/>
      <c r="L631" s="1456"/>
      <c r="M631" s="1458" t="s">
        <v>1290</v>
      </c>
      <c r="N631" s="1458"/>
      <c r="O631" s="1458"/>
      <c r="P631" s="1458"/>
      <c r="Q631" s="1454"/>
      <c r="R631" s="1452"/>
      <c r="S631" s="1453"/>
      <c r="T631" s="1454"/>
      <c r="U631" s="1452"/>
      <c r="V631" s="1453"/>
      <c r="W631" s="1484"/>
      <c r="X631" s="1485"/>
      <c r="Y631" s="1486"/>
      <c r="Z631" s="1489" t="s">
        <v>1290</v>
      </c>
      <c r="AA631" s="1490"/>
      <c r="AB631" s="1491"/>
      <c r="AC631" s="1481"/>
      <c r="AD631" s="1482"/>
      <c r="AE631" s="1483"/>
      <c r="AF631" s="1477"/>
      <c r="AG631" s="1478"/>
      <c r="AH631" s="1478"/>
      <c r="AI631" s="1478"/>
      <c r="AJ631" s="1479"/>
      <c r="AK631" s="1431"/>
      <c r="AL631" s="1432"/>
      <c r="AM631" s="1432"/>
      <c r="AN631" s="1433"/>
      <c r="AO631" s="1428"/>
      <c r="AP631" s="1429"/>
      <c r="AQ631" s="1429"/>
      <c r="AR631" s="1429"/>
      <c r="AS631" s="1430"/>
      <c r="AT631" s="1192" t="str">
        <f t="shared" si="23"/>
        <v/>
      </c>
      <c r="AU631" s="3"/>
      <c r="AZ631" s="3"/>
      <c r="BA631" s="3"/>
      <c r="BB631" s="3"/>
      <c r="BC631" s="3"/>
      <c r="BD631" s="3"/>
      <c r="BE631" s="1523">
        <f t="shared" si="1"/>
        <v>0</v>
      </c>
      <c r="BF631" s="1525"/>
      <c r="BG631" s="1531">
        <f t="shared" si="2"/>
        <v>0</v>
      </c>
      <c r="BH631" s="1532"/>
      <c r="BI631" s="1523">
        <f t="shared" si="3"/>
        <v>0</v>
      </c>
      <c r="BJ631" s="1525"/>
      <c r="BK631" s="1531">
        <f t="shared" si="4"/>
        <v>0</v>
      </c>
      <c r="BL631" s="1532"/>
      <c r="BM631" s="3"/>
      <c r="BN631" s="1517">
        <f t="shared" si="5"/>
        <v>0</v>
      </c>
      <c r="BO631" s="1518"/>
      <c r="BP631" s="1518"/>
      <c r="BQ631" s="1518"/>
      <c r="BR631" s="1519"/>
      <c r="BS631" s="1526">
        <f t="shared" si="6"/>
        <v>0</v>
      </c>
      <c r="BT631" s="1526"/>
      <c r="BU631" s="1526"/>
      <c r="BV631" s="1526"/>
      <c r="BW631" s="1526"/>
      <c r="BX631" s="1526">
        <f t="shared" si="7"/>
        <v>0</v>
      </c>
      <c r="BY631" s="1526"/>
      <c r="BZ631" s="1526"/>
      <c r="CA631" s="1526"/>
      <c r="CB631" s="1526"/>
      <c r="CC631" s="1526">
        <f t="shared" si="8"/>
        <v>0</v>
      </c>
      <c r="CD631" s="1526"/>
      <c r="CE631" s="1526"/>
      <c r="CF631" s="1526"/>
      <c r="CG631" s="1526"/>
      <c r="CH631" s="1526">
        <f t="shared" si="9"/>
        <v>0</v>
      </c>
      <c r="CI631" s="1526"/>
      <c r="CJ631" s="1526"/>
      <c r="CK631" s="1526"/>
      <c r="CL631" s="1526"/>
      <c r="CM631" s="1526">
        <f t="shared" si="10"/>
        <v>0</v>
      </c>
      <c r="CN631" s="1526"/>
      <c r="CO631" s="1526"/>
      <c r="CP631" s="1526"/>
      <c r="CQ631" s="1526"/>
      <c r="CR631" s="6"/>
      <c r="CS631" s="1528">
        <f t="shared" si="11"/>
        <v>0</v>
      </c>
      <c r="CT631" s="1528"/>
      <c r="CU631" s="1528"/>
      <c r="CV631" s="1528"/>
      <c r="CW631" s="1528"/>
      <c r="CX631" s="1528">
        <f t="shared" si="12"/>
        <v>0</v>
      </c>
      <c r="CY631" s="1528"/>
      <c r="CZ631" s="1528"/>
      <c r="DA631" s="1528"/>
      <c r="DB631" s="1528"/>
      <c r="DC631" s="1528">
        <f t="shared" si="13"/>
        <v>0</v>
      </c>
      <c r="DD631" s="1528"/>
      <c r="DE631" s="1528"/>
      <c r="DF631" s="1528"/>
      <c r="DG631" s="1528"/>
      <c r="DH631" s="1528">
        <f t="shared" si="14"/>
        <v>0</v>
      </c>
      <c r="DI631" s="1528"/>
      <c r="DJ631" s="1528"/>
      <c r="DK631" s="1528"/>
      <c r="DL631" s="1528"/>
      <c r="DM631" s="1528">
        <f t="shared" si="15"/>
        <v>0</v>
      </c>
      <c r="DN631" s="1528"/>
      <c r="DO631" s="1528"/>
      <c r="DP631" s="1528"/>
      <c r="DQ631" s="1528"/>
      <c r="DR631" s="1528">
        <f t="shared" si="16"/>
        <v>0</v>
      </c>
      <c r="DS631" s="1528"/>
      <c r="DT631" s="1528"/>
      <c r="DU631" s="1528"/>
      <c r="DV631" s="1528"/>
      <c r="DX631" s="1523" t="str">
        <f t="shared" si="17"/>
        <v/>
      </c>
      <c r="DY631" s="1524"/>
      <c r="DZ631" s="1524"/>
      <c r="EA631" s="1524"/>
      <c r="EB631" s="1525"/>
      <c r="EC631" s="1523" t="str">
        <f t="shared" si="18"/>
        <v/>
      </c>
      <c r="ED631" s="1524"/>
      <c r="EE631" s="1524"/>
      <c r="EF631" s="1524"/>
      <c r="EG631" s="1525"/>
      <c r="EH631" s="1523" t="str">
        <f t="shared" si="19"/>
        <v/>
      </c>
      <c r="EI631" s="1524"/>
      <c r="EJ631" s="1524"/>
      <c r="EK631" s="1524"/>
      <c r="EL631" s="1525"/>
      <c r="EM631" s="1523" t="str">
        <f t="shared" si="20"/>
        <v/>
      </c>
      <c r="EN631" s="1524"/>
      <c r="EO631" s="1524"/>
      <c r="EP631" s="1524"/>
      <c r="EQ631" s="1525"/>
      <c r="ER631" s="1523" t="str">
        <f t="shared" si="21"/>
        <v/>
      </c>
      <c r="ES631" s="1524"/>
      <c r="ET631" s="1524"/>
      <c r="EU631" s="1524"/>
      <c r="EV631" s="1525"/>
      <c r="EW631" s="1523" t="str">
        <f t="shared" si="22"/>
        <v/>
      </c>
      <c r="EX631" s="1524"/>
      <c r="EY631" s="1524"/>
      <c r="EZ631" s="1524"/>
      <c r="FA631" s="1525"/>
    </row>
    <row r="632" spans="2:157" ht="13" customHeight="1">
      <c r="B632" s="52" t="s">
        <v>592</v>
      </c>
      <c r="C632" s="1456"/>
      <c r="D632" s="1456"/>
      <c r="E632" s="1456"/>
      <c r="F632" s="1456"/>
      <c r="G632" s="1456"/>
      <c r="H632" s="1456"/>
      <c r="I632" s="1456"/>
      <c r="J632" s="1456"/>
      <c r="K632" s="1456"/>
      <c r="L632" s="1456"/>
      <c r="M632" s="1458" t="s">
        <v>1290</v>
      </c>
      <c r="N632" s="1458"/>
      <c r="O632" s="1458"/>
      <c r="P632" s="1458"/>
      <c r="Q632" s="1454"/>
      <c r="R632" s="1452"/>
      <c r="S632" s="1453"/>
      <c r="T632" s="1454"/>
      <c r="U632" s="1452"/>
      <c r="V632" s="1453"/>
      <c r="W632" s="1484"/>
      <c r="X632" s="1485"/>
      <c r="Y632" s="1486"/>
      <c r="Z632" s="1489" t="s">
        <v>1290</v>
      </c>
      <c r="AA632" s="1490"/>
      <c r="AB632" s="1491"/>
      <c r="AC632" s="1481"/>
      <c r="AD632" s="1482"/>
      <c r="AE632" s="1483"/>
      <c r="AF632" s="1477"/>
      <c r="AG632" s="1478"/>
      <c r="AH632" s="1478"/>
      <c r="AI632" s="1478"/>
      <c r="AJ632" s="1479"/>
      <c r="AK632" s="1431"/>
      <c r="AL632" s="1432"/>
      <c r="AM632" s="1432"/>
      <c r="AN632" s="1433"/>
      <c r="AO632" s="1428"/>
      <c r="AP632" s="1429"/>
      <c r="AQ632" s="1429"/>
      <c r="AR632" s="1429"/>
      <c r="AS632" s="1430"/>
      <c r="AT632" s="1192" t="str">
        <f t="shared" si="23"/>
        <v/>
      </c>
      <c r="AU632" s="3"/>
      <c r="AZ632" s="3"/>
      <c r="BA632" s="3"/>
      <c r="BB632" s="3"/>
      <c r="BC632" s="3"/>
      <c r="BD632" s="3"/>
      <c r="BE632" s="3"/>
      <c r="BF632" s="3"/>
      <c r="BG632" s="1523">
        <f>SUM(BG597:BH631)</f>
        <v>15</v>
      </c>
      <c r="BH632" s="1525"/>
      <c r="BI632" s="3"/>
      <c r="BJ632" s="3"/>
      <c r="BK632" s="1523">
        <f>SUM(BK597:BL631)</f>
        <v>11</v>
      </c>
      <c r="BL632" s="1525"/>
      <c r="BM632" s="3"/>
      <c r="BN632" s="1523">
        <f>SUM(BN597:BR631)</f>
        <v>0</v>
      </c>
      <c r="BO632" s="1524"/>
      <c r="BP632" s="1524"/>
      <c r="BQ632" s="1524"/>
      <c r="BR632" s="1525"/>
      <c r="BS632" s="1529">
        <f>SUM(BS597:BW631)</f>
        <v>39</v>
      </c>
      <c r="BT632" s="1529"/>
      <c r="BU632" s="1529"/>
      <c r="BV632" s="1529"/>
      <c r="BW632" s="1529"/>
      <c r="BX632" s="1529">
        <f>SUM(BX597:CB631)</f>
        <v>21</v>
      </c>
      <c r="BY632" s="1529"/>
      <c r="BZ632" s="1529"/>
      <c r="CA632" s="1529"/>
      <c r="CB632" s="1529"/>
      <c r="CC632" s="1529">
        <f>SUM(CC597:CG631)</f>
        <v>21</v>
      </c>
      <c r="CD632" s="1529"/>
      <c r="CE632" s="1529"/>
      <c r="CF632" s="1529"/>
      <c r="CG632" s="1529"/>
      <c r="CH632" s="1529">
        <f>SUM(CH597:CL631)</f>
        <v>0</v>
      </c>
      <c r="CI632" s="1529"/>
      <c r="CJ632" s="1529"/>
      <c r="CK632" s="1529"/>
      <c r="CL632" s="1529"/>
      <c r="CM632" s="1529">
        <f>SUM(CM597:CQ631)</f>
        <v>0</v>
      </c>
      <c r="CN632" s="1529"/>
      <c r="CO632" s="1529"/>
      <c r="CP632" s="1529"/>
      <c r="CQ632" s="1529"/>
      <c r="CR632" s="385"/>
      <c r="CS632" s="1529">
        <f>SUM(CS597:CW631)</f>
        <v>0</v>
      </c>
      <c r="CT632" s="1529"/>
      <c r="CU632" s="1529"/>
      <c r="CV632" s="1529"/>
      <c r="CW632" s="1529"/>
      <c r="CX632" s="1529">
        <f>SUM(CX597:DB631)</f>
        <v>5</v>
      </c>
      <c r="CY632" s="1529"/>
      <c r="CZ632" s="1529"/>
      <c r="DA632" s="1529"/>
      <c r="DB632" s="1529"/>
      <c r="DC632" s="1529">
        <f>SUM(DC597:DG631)</f>
        <v>3</v>
      </c>
      <c r="DD632" s="1529"/>
      <c r="DE632" s="1529"/>
      <c r="DF632" s="1529"/>
      <c r="DG632" s="1529"/>
      <c r="DH632" s="1529">
        <f>SUM(DH597:DL631)</f>
        <v>3</v>
      </c>
      <c r="DI632" s="1529"/>
      <c r="DJ632" s="1529"/>
      <c r="DK632" s="1529"/>
      <c r="DL632" s="1529"/>
      <c r="DM632" s="1529">
        <f>SUM(DM597:DQ631)</f>
        <v>0</v>
      </c>
      <c r="DN632" s="1529"/>
      <c r="DO632" s="1529"/>
      <c r="DP632" s="1529"/>
      <c r="DQ632" s="1529"/>
      <c r="DR632" s="1529">
        <f>SUM(DR597:DV631)</f>
        <v>0</v>
      </c>
      <c r="DS632" s="1529"/>
      <c r="DT632" s="1529"/>
      <c r="DU632" s="1529"/>
      <c r="DV632" s="1529"/>
      <c r="DX632" s="1529">
        <f>SUM(DX597:EB631)</f>
        <v>0</v>
      </c>
      <c r="DY632" s="1529"/>
      <c r="DZ632" s="1529"/>
      <c r="EA632" s="1529"/>
      <c r="EB632" s="1529"/>
      <c r="EC632" s="1529">
        <f>SUM(EC597:EG631)</f>
        <v>6637</v>
      </c>
      <c r="ED632" s="1529"/>
      <c r="EE632" s="1529"/>
      <c r="EF632" s="1529"/>
      <c r="EG632" s="1529"/>
      <c r="EH632" s="1529">
        <f>SUM(EH597:EL631)</f>
        <v>7668</v>
      </c>
      <c r="EI632" s="1529"/>
      <c r="EJ632" s="1529"/>
      <c r="EK632" s="1529"/>
      <c r="EL632" s="1529"/>
      <c r="EM632" s="1529">
        <f>SUM(EM597:EQ631)</f>
        <v>9161</v>
      </c>
      <c r="EN632" s="1529"/>
      <c r="EO632" s="1529"/>
      <c r="EP632" s="1529"/>
      <c r="EQ632" s="1529"/>
      <c r="ER632" s="1529">
        <f>SUM(ER597:EV631)</f>
        <v>0</v>
      </c>
      <c r="ES632" s="1529"/>
      <c r="ET632" s="1529"/>
      <c r="EU632" s="1529"/>
      <c r="EV632" s="1529"/>
      <c r="EW632" s="1529">
        <f>SUM(EW597:FA631)</f>
        <v>0</v>
      </c>
      <c r="EX632" s="1529"/>
      <c r="EY632" s="1529"/>
      <c r="EZ632" s="1529"/>
      <c r="FA632" s="1529"/>
    </row>
    <row r="633" spans="2:157" ht="13" customHeight="1">
      <c r="B633" s="52" t="s">
        <v>463</v>
      </c>
      <c r="C633" s="1456"/>
      <c r="D633" s="1456"/>
      <c r="E633" s="1456"/>
      <c r="F633" s="1456"/>
      <c r="G633" s="1456"/>
      <c r="H633" s="1456"/>
      <c r="I633" s="1456"/>
      <c r="J633" s="1456"/>
      <c r="K633" s="1456"/>
      <c r="L633" s="1456"/>
      <c r="M633" s="1458" t="s">
        <v>1290</v>
      </c>
      <c r="N633" s="1458"/>
      <c r="O633" s="1458"/>
      <c r="P633" s="1458"/>
      <c r="Q633" s="1454"/>
      <c r="R633" s="1452"/>
      <c r="S633" s="1453"/>
      <c r="T633" s="1454"/>
      <c r="U633" s="1452"/>
      <c r="V633" s="1453"/>
      <c r="W633" s="1484"/>
      <c r="X633" s="1485"/>
      <c r="Y633" s="1486"/>
      <c r="Z633" s="1489" t="s">
        <v>1290</v>
      </c>
      <c r="AA633" s="1490"/>
      <c r="AB633" s="1491"/>
      <c r="AC633" s="1481"/>
      <c r="AD633" s="1482"/>
      <c r="AE633" s="1483"/>
      <c r="AF633" s="1477"/>
      <c r="AG633" s="1478"/>
      <c r="AH633" s="1478"/>
      <c r="AI633" s="1478"/>
      <c r="AJ633" s="1479"/>
      <c r="AK633" s="1431"/>
      <c r="AL633" s="1432"/>
      <c r="AM633" s="1432"/>
      <c r="AN633" s="1433"/>
      <c r="AO633" s="1428"/>
      <c r="AP633" s="1429"/>
      <c r="AQ633" s="1429"/>
      <c r="AR633" s="1429"/>
      <c r="AS633" s="143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23">
        <f>BN632+BS632+BX632+CC632+CH632+CM632</f>
        <v>81</v>
      </c>
      <c r="CN633" s="1524"/>
      <c r="CO633" s="1524"/>
      <c r="CP633" s="1524"/>
      <c r="CQ633" s="1525"/>
      <c r="CR633" s="385"/>
      <c r="CS633" s="3"/>
      <c r="CT633" s="3"/>
      <c r="CU633" s="3"/>
      <c r="CV633" s="3"/>
      <c r="CW633" s="3"/>
      <c r="CX633" s="3"/>
      <c r="CY633" s="3"/>
      <c r="CZ633" s="3"/>
      <c r="DA633" s="3"/>
      <c r="DB633" s="3"/>
      <c r="DC633" s="3"/>
      <c r="DD633" s="3"/>
      <c r="DE633" s="3"/>
      <c r="DF633" s="3"/>
    </row>
    <row r="634" spans="2:157" ht="13" customHeight="1">
      <c r="B634" s="52" t="s">
        <v>464</v>
      </c>
      <c r="C634" s="1456"/>
      <c r="D634" s="1456"/>
      <c r="E634" s="1456"/>
      <c r="F634" s="1456"/>
      <c r="G634" s="1456"/>
      <c r="H634" s="1456"/>
      <c r="I634" s="1456"/>
      <c r="J634" s="1456"/>
      <c r="K634" s="1456"/>
      <c r="L634" s="1456"/>
      <c r="M634" s="1458" t="s">
        <v>1290</v>
      </c>
      <c r="N634" s="1458"/>
      <c r="O634" s="1458"/>
      <c r="P634" s="1458"/>
      <c r="Q634" s="1454"/>
      <c r="R634" s="1452"/>
      <c r="S634" s="1453"/>
      <c r="T634" s="1454"/>
      <c r="U634" s="1452"/>
      <c r="V634" s="1453"/>
      <c r="W634" s="1484"/>
      <c r="X634" s="1485"/>
      <c r="Y634" s="1486"/>
      <c r="Z634" s="1489" t="s">
        <v>1290</v>
      </c>
      <c r="AA634" s="1490"/>
      <c r="AB634" s="1491"/>
      <c r="AC634" s="1481"/>
      <c r="AD634" s="1482"/>
      <c r="AE634" s="1483"/>
      <c r="AF634" s="1477"/>
      <c r="AG634" s="1478"/>
      <c r="AH634" s="1478"/>
      <c r="AI634" s="1478"/>
      <c r="AJ634" s="1479"/>
      <c r="AK634" s="1431"/>
      <c r="AL634" s="1432"/>
      <c r="AM634" s="1432"/>
      <c r="AN634" s="1433"/>
      <c r="AO634" s="1428"/>
      <c r="AP634" s="1429"/>
      <c r="AQ634" s="1429"/>
      <c r="AR634" s="1429"/>
      <c r="AS634" s="1430"/>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39</v>
      </c>
      <c r="BX634" s="3"/>
      <c r="BY634" s="3"/>
      <c r="BZ634" s="3"/>
      <c r="CA634" s="3"/>
      <c r="CB634" s="895">
        <f>BX632*2</f>
        <v>42</v>
      </c>
      <c r="CC634" s="3"/>
      <c r="CD634" s="3"/>
      <c r="CE634" s="3"/>
      <c r="CF634" s="3"/>
      <c r="CG634" s="895">
        <f>CC632*3</f>
        <v>63</v>
      </c>
      <c r="CH634" s="3"/>
      <c r="CI634" s="3"/>
      <c r="CJ634" s="3"/>
      <c r="CK634" s="3"/>
      <c r="CL634" s="895">
        <f>CH632*4</f>
        <v>0</v>
      </c>
      <c r="CM634" s="3"/>
      <c r="CN634" s="3"/>
      <c r="CO634" s="3"/>
      <c r="CP634" s="3"/>
      <c r="CQ634" s="895">
        <f>CM632*5</f>
        <v>0</v>
      </c>
      <c r="CS634" s="895">
        <f>BR634+BW634+CB634+CG634+CL634+CQ634</f>
        <v>144</v>
      </c>
      <c r="CT634" s="57" t="s">
        <v>2054</v>
      </c>
      <c r="CU634" s="3"/>
      <c r="CV634" s="3"/>
      <c r="CW634" s="3"/>
      <c r="CX634" s="3"/>
      <c r="CY634" s="3"/>
      <c r="CZ634" s="3"/>
      <c r="DA634" s="3"/>
      <c r="DB634" s="3"/>
      <c r="DC634" s="3"/>
      <c r="DD634" s="3"/>
      <c r="DE634" s="3"/>
      <c r="DF634" s="3"/>
    </row>
    <row r="635" spans="2:157" ht="13" customHeight="1">
      <c r="B635" s="52" t="s">
        <v>469</v>
      </c>
      <c r="C635" s="1456"/>
      <c r="D635" s="1456"/>
      <c r="E635" s="1456"/>
      <c r="F635" s="1456"/>
      <c r="G635" s="1456"/>
      <c r="H635" s="1456"/>
      <c r="I635" s="1456"/>
      <c r="J635" s="1456"/>
      <c r="K635" s="1456"/>
      <c r="L635" s="1456"/>
      <c r="M635" s="1458" t="s">
        <v>1290</v>
      </c>
      <c r="N635" s="1458"/>
      <c r="O635" s="1458"/>
      <c r="P635" s="1458"/>
      <c r="Q635" s="1454"/>
      <c r="R635" s="1452"/>
      <c r="S635" s="1453"/>
      <c r="T635" s="1454"/>
      <c r="U635" s="1452"/>
      <c r="V635" s="1453"/>
      <c r="W635" s="1484"/>
      <c r="X635" s="1485"/>
      <c r="Y635" s="1486"/>
      <c r="Z635" s="1489" t="s">
        <v>1290</v>
      </c>
      <c r="AA635" s="1490"/>
      <c r="AB635" s="1491"/>
      <c r="AC635" s="1481"/>
      <c r="AD635" s="1482"/>
      <c r="AE635" s="1483"/>
      <c r="AF635" s="1477"/>
      <c r="AG635" s="1478"/>
      <c r="AH635" s="1478"/>
      <c r="AI635" s="1478"/>
      <c r="AJ635" s="1479"/>
      <c r="AK635" s="1431"/>
      <c r="AL635" s="1432"/>
      <c r="AM635" s="1432"/>
      <c r="AN635" s="1433"/>
      <c r="AO635" s="1428"/>
      <c r="AP635" s="1429"/>
      <c r="AQ635" s="1429"/>
      <c r="AR635" s="1429"/>
      <c r="AS635" s="1430"/>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12" t="e">
        <f>DX597*(BN597/$BN$632)</f>
        <v>#VALUE!</v>
      </c>
      <c r="DY635" s="1512"/>
      <c r="DZ635" s="1512"/>
      <c r="EA635" s="1512"/>
      <c r="EB635" s="1512"/>
      <c r="EC635" s="1512">
        <f t="shared" ref="EC635:EC657" si="24">EC597*(BS597/$BS$632)</f>
        <v>85.256410256410248</v>
      </c>
      <c r="ED635" s="1512"/>
      <c r="EE635" s="1512"/>
      <c r="EF635" s="1512"/>
      <c r="EG635" s="1512"/>
      <c r="EH635" s="1512" t="e">
        <f t="shared" ref="EH635:EH657" si="25">EH597*(BX597/$BX$632)</f>
        <v>#VALUE!</v>
      </c>
      <c r="EI635" s="1512"/>
      <c r="EJ635" s="1512"/>
      <c r="EK635" s="1512"/>
      <c r="EL635" s="1512"/>
      <c r="EM635" s="1512" t="e">
        <f t="shared" ref="EM635:EM657" si="26">EM597*(CC597/$CC$632)</f>
        <v>#VALUE!</v>
      </c>
      <c r="EN635" s="1512"/>
      <c r="EO635" s="1512"/>
      <c r="EP635" s="1512"/>
      <c r="EQ635" s="1512"/>
      <c r="ER635" s="1512" t="e">
        <f t="shared" ref="ER635:ER657" si="27">ER597*(CH597/$CH$632)</f>
        <v>#VALUE!</v>
      </c>
      <c r="ES635" s="1512"/>
      <c r="ET635" s="1512"/>
      <c r="EU635" s="1512"/>
      <c r="EV635" s="1512"/>
      <c r="EW635" s="1512" t="e">
        <f t="shared" ref="EW635:EW657" si="28">EW597*(CM597/$CM$632)</f>
        <v>#VALUE!</v>
      </c>
      <c r="EX635" s="1512"/>
      <c r="EY635" s="1512"/>
      <c r="EZ635" s="1512"/>
      <c r="FA635" s="1512"/>
    </row>
    <row r="636" spans="2:157" ht="13" customHeight="1">
      <c r="B636" s="52" t="s">
        <v>654</v>
      </c>
      <c r="C636" s="1456"/>
      <c r="D636" s="1456"/>
      <c r="E636" s="1456"/>
      <c r="F636" s="1456"/>
      <c r="G636" s="1456"/>
      <c r="H636" s="1456"/>
      <c r="I636" s="1456"/>
      <c r="J636" s="1456"/>
      <c r="K636" s="1456"/>
      <c r="L636" s="1456"/>
      <c r="M636" s="1458" t="s">
        <v>1290</v>
      </c>
      <c r="N636" s="1458"/>
      <c r="O636" s="1458"/>
      <c r="P636" s="1458"/>
      <c r="Q636" s="1454"/>
      <c r="R636" s="1452"/>
      <c r="S636" s="1453"/>
      <c r="T636" s="1454"/>
      <c r="U636" s="1452"/>
      <c r="V636" s="1453"/>
      <c r="W636" s="1484"/>
      <c r="X636" s="1485"/>
      <c r="Y636" s="1486"/>
      <c r="Z636" s="1489" t="s">
        <v>1290</v>
      </c>
      <c r="AA636" s="1490"/>
      <c r="AB636" s="1491"/>
      <c r="AC636" s="1481"/>
      <c r="AD636" s="1482"/>
      <c r="AE636" s="1483"/>
      <c r="AF636" s="1477"/>
      <c r="AG636" s="1478"/>
      <c r="AH636" s="1478"/>
      <c r="AI636" s="1478"/>
      <c r="AJ636" s="1479"/>
      <c r="AK636" s="1431"/>
      <c r="AL636" s="1432"/>
      <c r="AM636" s="1432"/>
      <c r="AN636" s="1433"/>
      <c r="AO636" s="1428"/>
      <c r="AP636" s="1429"/>
      <c r="AQ636" s="1429"/>
      <c r="AR636" s="1429"/>
      <c r="AS636" s="1430"/>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12" t="e">
        <f t="shared" ref="DX636:DX657" si="29">DX598*(BN598/$BN$632)</f>
        <v>#VALUE!</v>
      </c>
      <c r="DY636" s="1512"/>
      <c r="DZ636" s="1512"/>
      <c r="EA636" s="1512"/>
      <c r="EB636" s="1512"/>
      <c r="EC636" s="1512" t="e">
        <f t="shared" si="24"/>
        <v>#VALUE!</v>
      </c>
      <c r="ED636" s="1512"/>
      <c r="EE636" s="1512"/>
      <c r="EF636" s="1512"/>
      <c r="EG636" s="1512"/>
      <c r="EH636" s="1512">
        <f t="shared" si="25"/>
        <v>113.71428571428571</v>
      </c>
      <c r="EI636" s="1512"/>
      <c r="EJ636" s="1512"/>
      <c r="EK636" s="1512"/>
      <c r="EL636" s="1512"/>
      <c r="EM636" s="1512" t="e">
        <f t="shared" si="26"/>
        <v>#VALUE!</v>
      </c>
      <c r="EN636" s="1512"/>
      <c r="EO636" s="1512"/>
      <c r="EP636" s="1512"/>
      <c r="EQ636" s="1512"/>
      <c r="ER636" s="1512" t="e">
        <f t="shared" si="27"/>
        <v>#VALUE!</v>
      </c>
      <c r="ES636" s="1512"/>
      <c r="ET636" s="1512"/>
      <c r="EU636" s="1512"/>
      <c r="EV636" s="1512"/>
      <c r="EW636" s="1512" t="e">
        <f t="shared" si="28"/>
        <v>#VALUE!</v>
      </c>
      <c r="EX636" s="1512"/>
      <c r="EY636" s="1512"/>
      <c r="EZ636" s="1512"/>
      <c r="FA636" s="1512"/>
    </row>
    <row r="637" spans="2:157" ht="13" customHeight="1">
      <c r="B637" s="52" t="s">
        <v>362</v>
      </c>
      <c r="C637" s="1456"/>
      <c r="D637" s="1456"/>
      <c r="E637" s="1456"/>
      <c r="F637" s="1456"/>
      <c r="G637" s="1456"/>
      <c r="H637" s="1456"/>
      <c r="I637" s="1456"/>
      <c r="J637" s="1456"/>
      <c r="K637" s="1456"/>
      <c r="L637" s="1456"/>
      <c r="M637" s="1458" t="s">
        <v>1290</v>
      </c>
      <c r="N637" s="1458"/>
      <c r="O637" s="1458"/>
      <c r="P637" s="1458"/>
      <c r="Q637" s="1454"/>
      <c r="R637" s="1452"/>
      <c r="S637" s="1453"/>
      <c r="T637" s="1454"/>
      <c r="U637" s="1452"/>
      <c r="V637" s="1453"/>
      <c r="W637" s="1484"/>
      <c r="X637" s="1485"/>
      <c r="Y637" s="1486"/>
      <c r="Z637" s="1489" t="s">
        <v>1290</v>
      </c>
      <c r="AA637" s="1490"/>
      <c r="AB637" s="1491"/>
      <c r="AC637" s="1481"/>
      <c r="AD637" s="1482"/>
      <c r="AE637" s="1483"/>
      <c r="AF637" s="1477"/>
      <c r="AG637" s="1478"/>
      <c r="AH637" s="1478"/>
      <c r="AI637" s="1478"/>
      <c r="AJ637" s="1479"/>
      <c r="AK637" s="1431"/>
      <c r="AL637" s="1432"/>
      <c r="AM637" s="1432"/>
      <c r="AN637" s="1433"/>
      <c r="AO637" s="1428"/>
      <c r="AP637" s="1429"/>
      <c r="AQ637" s="1429"/>
      <c r="AR637" s="1429"/>
      <c r="AS637" s="1430"/>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17">
        <f>IF(J773="SRO/Studio",O773,0)</f>
        <v>0</v>
      </c>
      <c r="BO637" s="1518"/>
      <c r="BP637" s="1518"/>
      <c r="BQ637" s="1518"/>
      <c r="BR637" s="1519"/>
      <c r="BS637" s="1526">
        <f>IF(J773="1 Bedroom",O773,0)</f>
        <v>0</v>
      </c>
      <c r="BT637" s="1526"/>
      <c r="BU637" s="1526"/>
      <c r="BV637" s="1526"/>
      <c r="BW637" s="1526"/>
      <c r="BX637" s="1526">
        <f>IF(J773="2 Bedrooms",O773,0)</f>
        <v>1</v>
      </c>
      <c r="BY637" s="1526"/>
      <c r="BZ637" s="1526"/>
      <c r="CA637" s="1526"/>
      <c r="CB637" s="1526"/>
      <c r="CC637" s="1526">
        <f>IF(J773="3 Bedrooms",O773,0)</f>
        <v>0</v>
      </c>
      <c r="CD637" s="1526"/>
      <c r="CE637" s="1526"/>
      <c r="CF637" s="1526"/>
      <c r="CG637" s="1526"/>
      <c r="CH637" s="1526">
        <f>IF(J773="4 Bedrooms",O773,0)</f>
        <v>0</v>
      </c>
      <c r="CI637" s="1526"/>
      <c r="CJ637" s="1526"/>
      <c r="CK637" s="1526"/>
      <c r="CL637" s="1526"/>
      <c r="CM637" s="1526">
        <f>IF(J773="5 Bedrooms",O773,0)</f>
        <v>0</v>
      </c>
      <c r="CN637" s="1526"/>
      <c r="CO637" s="1526"/>
      <c r="CP637" s="1526"/>
      <c r="CQ637" s="1526"/>
      <c r="CR637" s="6"/>
      <c r="CS637" s="3"/>
      <c r="CT637" s="3"/>
      <c r="CU637" s="3"/>
      <c r="CV637" s="3"/>
      <c r="CW637" s="3"/>
      <c r="CX637" s="3"/>
      <c r="CY637" s="3"/>
      <c r="CZ637" s="3"/>
      <c r="DA637" s="3"/>
      <c r="DB637" s="3"/>
      <c r="DC637" s="3"/>
      <c r="DD637" s="3"/>
      <c r="DE637" s="3"/>
      <c r="DF637" s="3"/>
      <c r="DX637" s="1512" t="e">
        <f t="shared" si="29"/>
        <v>#VALUE!</v>
      </c>
      <c r="DY637" s="1512"/>
      <c r="DZ637" s="1512"/>
      <c r="EA637" s="1512"/>
      <c r="EB637" s="1512"/>
      <c r="EC637" s="1512" t="e">
        <f t="shared" si="24"/>
        <v>#VALUE!</v>
      </c>
      <c r="ED637" s="1512"/>
      <c r="EE637" s="1512"/>
      <c r="EF637" s="1512"/>
      <c r="EG637" s="1512"/>
      <c r="EH637" s="1512" t="e">
        <f t="shared" si="25"/>
        <v>#VALUE!</v>
      </c>
      <c r="EI637" s="1512"/>
      <c r="EJ637" s="1512"/>
      <c r="EK637" s="1512"/>
      <c r="EL637" s="1512"/>
      <c r="EM637" s="1512">
        <f t="shared" si="26"/>
        <v>130.57142857142856</v>
      </c>
      <c r="EN637" s="1512"/>
      <c r="EO637" s="1512"/>
      <c r="EP637" s="1512"/>
      <c r="EQ637" s="1512"/>
      <c r="ER637" s="1512" t="e">
        <f t="shared" si="27"/>
        <v>#VALUE!</v>
      </c>
      <c r="ES637" s="1512"/>
      <c r="ET637" s="1512"/>
      <c r="EU637" s="1512"/>
      <c r="EV637" s="1512"/>
      <c r="EW637" s="1512" t="e">
        <f t="shared" si="28"/>
        <v>#VALUE!</v>
      </c>
      <c r="EX637" s="1512"/>
      <c r="EY637" s="1512"/>
      <c r="EZ637" s="1512"/>
      <c r="FA637" s="1512"/>
    </row>
    <row r="638" spans="2:157" ht="13" customHeight="1">
      <c r="B638" s="52" t="s">
        <v>363</v>
      </c>
      <c r="C638" s="1456"/>
      <c r="D638" s="1456"/>
      <c r="E638" s="1456"/>
      <c r="F638" s="1456"/>
      <c r="G638" s="1456"/>
      <c r="H638" s="1456"/>
      <c r="I638" s="1456"/>
      <c r="J638" s="1456"/>
      <c r="K638" s="1456"/>
      <c r="L638" s="1456"/>
      <c r="M638" s="1458" t="s">
        <v>1290</v>
      </c>
      <c r="N638" s="1458"/>
      <c r="O638" s="1458"/>
      <c r="P638" s="1458"/>
      <c r="Q638" s="1454"/>
      <c r="R638" s="1452"/>
      <c r="S638" s="1453"/>
      <c r="T638" s="1454"/>
      <c r="U638" s="1452"/>
      <c r="V638" s="1453"/>
      <c r="W638" s="1484"/>
      <c r="X638" s="1485"/>
      <c r="Y638" s="1486"/>
      <c r="Z638" s="1489" t="s">
        <v>1290</v>
      </c>
      <c r="AA638" s="1490"/>
      <c r="AB638" s="1491"/>
      <c r="AC638" s="1481"/>
      <c r="AD638" s="1482"/>
      <c r="AE638" s="1483"/>
      <c r="AF638" s="1477"/>
      <c r="AG638" s="1478"/>
      <c r="AH638" s="1478"/>
      <c r="AI638" s="1478"/>
      <c r="AJ638" s="1479"/>
      <c r="AK638" s="1431"/>
      <c r="AL638" s="1432"/>
      <c r="AM638" s="1432"/>
      <c r="AN638" s="1433"/>
      <c r="AO638" s="1428"/>
      <c r="AP638" s="1429"/>
      <c r="AQ638" s="1429"/>
      <c r="AR638" s="1429"/>
      <c r="AS638" s="1430"/>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17">
        <f>IF(J774="SRO/Studio",O774,0)</f>
        <v>0</v>
      </c>
      <c r="BO638" s="1518"/>
      <c r="BP638" s="1518"/>
      <c r="BQ638" s="1518"/>
      <c r="BR638" s="1519"/>
      <c r="BS638" s="1526">
        <f>IF(J774="1 Bedroom",O774,0)</f>
        <v>0</v>
      </c>
      <c r="BT638" s="1526"/>
      <c r="BU638" s="1526"/>
      <c r="BV638" s="1526"/>
      <c r="BW638" s="1526"/>
      <c r="BX638" s="1526">
        <f>IF(J774="2 Bedrooms",O774,0)</f>
        <v>0</v>
      </c>
      <c r="BY638" s="1526"/>
      <c r="BZ638" s="1526"/>
      <c r="CA638" s="1526"/>
      <c r="CB638" s="1526"/>
      <c r="CC638" s="1526">
        <f>IF(J774="3 Bedrooms",O774,0)</f>
        <v>0</v>
      </c>
      <c r="CD638" s="1526"/>
      <c r="CE638" s="1526"/>
      <c r="CF638" s="1526"/>
      <c r="CG638" s="1526"/>
      <c r="CH638" s="1526">
        <f>IF(J774="4 Bedrooms",O774,0)</f>
        <v>0</v>
      </c>
      <c r="CI638" s="1526"/>
      <c r="CJ638" s="1526"/>
      <c r="CK638" s="1526"/>
      <c r="CL638" s="1526"/>
      <c r="CM638" s="1526">
        <f>IF(J774="5 Bedrooms",O774,0)</f>
        <v>0</v>
      </c>
      <c r="CN638" s="1526"/>
      <c r="CO638" s="1526"/>
      <c r="CP638" s="1526"/>
      <c r="CQ638" s="1526"/>
      <c r="CR638" s="6"/>
      <c r="CS638" s="3"/>
      <c r="CT638" s="3"/>
      <c r="CU638" s="3"/>
      <c r="CV638" s="3"/>
      <c r="CW638" s="3"/>
      <c r="CX638" s="3"/>
      <c r="CY638" s="3"/>
      <c r="CZ638" s="3"/>
      <c r="DA638" s="3"/>
      <c r="DB638" s="3"/>
      <c r="DC638" s="3"/>
      <c r="DD638" s="3"/>
      <c r="DE638" s="3"/>
      <c r="DF638" s="3"/>
      <c r="DX638" s="1512" t="e">
        <f t="shared" si="29"/>
        <v>#VALUE!</v>
      </c>
      <c r="DY638" s="1512"/>
      <c r="DZ638" s="1512"/>
      <c r="EA638" s="1512"/>
      <c r="EB638" s="1512"/>
      <c r="EC638" s="1512">
        <f t="shared" si="24"/>
        <v>204.25641025641025</v>
      </c>
      <c r="ED638" s="1512"/>
      <c r="EE638" s="1512"/>
      <c r="EF638" s="1512"/>
      <c r="EG638" s="1512"/>
      <c r="EH638" s="1512" t="e">
        <f t="shared" si="25"/>
        <v>#VALUE!</v>
      </c>
      <c r="EI638" s="1512"/>
      <c r="EJ638" s="1512"/>
      <c r="EK638" s="1512"/>
      <c r="EL638" s="1512"/>
      <c r="EM638" s="1512" t="e">
        <f t="shared" si="26"/>
        <v>#VALUE!</v>
      </c>
      <c r="EN638" s="1512"/>
      <c r="EO638" s="1512"/>
      <c r="EP638" s="1512"/>
      <c r="EQ638" s="1512"/>
      <c r="ER638" s="1512" t="e">
        <f t="shared" si="27"/>
        <v>#VALUE!</v>
      </c>
      <c r="ES638" s="1512"/>
      <c r="ET638" s="1512"/>
      <c r="EU638" s="1512"/>
      <c r="EV638" s="1512"/>
      <c r="EW638" s="1512" t="e">
        <f t="shared" si="28"/>
        <v>#VALUE!</v>
      </c>
      <c r="EX638" s="1512"/>
      <c r="EY638" s="1512"/>
      <c r="EZ638" s="1512"/>
      <c r="FA638" s="1512"/>
    </row>
    <row r="639" spans="2:157" ht="13" customHeight="1">
      <c r="B639" s="1621" t="s">
        <v>128</v>
      </c>
      <c r="C639" s="1622"/>
      <c r="D639" s="1622"/>
      <c r="E639" s="1622"/>
      <c r="F639" s="1622"/>
      <c r="G639" s="1622"/>
      <c r="H639" s="1622"/>
      <c r="I639" s="1622"/>
      <c r="J639" s="1622"/>
      <c r="K639" s="1622"/>
      <c r="L639" s="1622"/>
      <c r="M639" s="1622"/>
      <c r="N639" s="1622"/>
      <c r="O639" s="1622"/>
      <c r="P639" s="1622"/>
      <c r="Q639" s="1622"/>
      <c r="R639" s="1622"/>
      <c r="S639" s="1622"/>
      <c r="T639" s="1622"/>
      <c r="U639" s="1622"/>
      <c r="V639" s="1622"/>
      <c r="W639" s="1622"/>
      <c r="X639" s="1622"/>
      <c r="Y639" s="1622"/>
      <c r="Z639" s="1622"/>
      <c r="AA639" s="1622"/>
      <c r="AB639" s="1622"/>
      <c r="AC639" s="1622"/>
      <c r="AD639" s="1622"/>
      <c r="AE639" s="1622"/>
      <c r="AF639" s="1622"/>
      <c r="AG639" s="1622"/>
      <c r="AH639" s="1622"/>
      <c r="AI639" s="1622"/>
      <c r="AJ639" s="1622"/>
      <c r="AK639" s="1622"/>
      <c r="AL639" s="1622"/>
      <c r="AM639" s="1622"/>
      <c r="AN639" s="1623"/>
      <c r="AO639" s="1662">
        <f>SUM(AO627:AR638)</f>
        <v>21540792</v>
      </c>
      <c r="AP639" s="1663"/>
      <c r="AQ639" s="1663"/>
      <c r="AR639" s="1663"/>
      <c r="AS639" s="1664"/>
      <c r="AV639" s="3"/>
      <c r="AW639" s="3"/>
      <c r="AX639" s="3"/>
      <c r="AY639" s="3"/>
      <c r="AZ639" s="34"/>
      <c r="BA639" s="34"/>
      <c r="BB639" s="34"/>
      <c r="BC639" s="34"/>
      <c r="BD639" s="34"/>
      <c r="BE639" s="34"/>
      <c r="BF639" s="34"/>
      <c r="BG639" s="34"/>
      <c r="BH639" s="34"/>
      <c r="BI639" s="34"/>
      <c r="BJ639" s="34"/>
      <c r="BK639" s="34"/>
      <c r="BL639" s="34"/>
      <c r="BM639" s="34"/>
      <c r="BN639" s="1517">
        <f>IF(J775="SRO/Studio",O775,0)</f>
        <v>0</v>
      </c>
      <c r="BO639" s="1518"/>
      <c r="BP639" s="1518"/>
      <c r="BQ639" s="1518"/>
      <c r="BR639" s="1519"/>
      <c r="BS639" s="1526">
        <f>IF(J775="1 Bedroom",O775,0)</f>
        <v>0</v>
      </c>
      <c r="BT639" s="1526"/>
      <c r="BU639" s="1526"/>
      <c r="BV639" s="1526"/>
      <c r="BW639" s="1526"/>
      <c r="BX639" s="1526">
        <f>IF(J775="2 Bedrooms",O775,0)</f>
        <v>0</v>
      </c>
      <c r="BY639" s="1526"/>
      <c r="BZ639" s="1526"/>
      <c r="CA639" s="1526"/>
      <c r="CB639" s="1526"/>
      <c r="CC639" s="1526">
        <f>IF(J775="3 Bedrooms",O775,0)</f>
        <v>0</v>
      </c>
      <c r="CD639" s="1526"/>
      <c r="CE639" s="1526"/>
      <c r="CF639" s="1526"/>
      <c r="CG639" s="1526"/>
      <c r="CH639" s="1526">
        <f>IF(J775="4 Bedrooms",O775,0)</f>
        <v>0</v>
      </c>
      <c r="CI639" s="1526"/>
      <c r="CJ639" s="1526"/>
      <c r="CK639" s="1526"/>
      <c r="CL639" s="1526"/>
      <c r="CM639" s="1526">
        <f>IF(J775="5 Bedrooms",O775,0)</f>
        <v>0</v>
      </c>
      <c r="CN639" s="1526"/>
      <c r="CO639" s="1526"/>
      <c r="CP639" s="1526"/>
      <c r="CQ639" s="1526"/>
      <c r="CR639" s="1047"/>
      <c r="CV639" s="3"/>
      <c r="CW639" s="3"/>
      <c r="CX639" s="3"/>
      <c r="CY639" s="3"/>
      <c r="CZ639" s="3"/>
      <c r="DA639" s="3"/>
      <c r="DB639" s="3"/>
      <c r="DC639" s="3"/>
      <c r="DD639" s="3"/>
      <c r="DE639" s="3"/>
      <c r="DF639" s="3"/>
      <c r="DX639" s="1512" t="e">
        <f t="shared" si="29"/>
        <v>#VALUE!</v>
      </c>
      <c r="DY639" s="1512"/>
      <c r="DZ639" s="1512"/>
      <c r="EA639" s="1512"/>
      <c r="EB639" s="1512"/>
      <c r="EC639" s="1512" t="e">
        <f t="shared" si="24"/>
        <v>#VALUE!</v>
      </c>
      <c r="ED639" s="1512"/>
      <c r="EE639" s="1512"/>
      <c r="EF639" s="1512"/>
      <c r="EG639" s="1512"/>
      <c r="EH639" s="1512">
        <f t="shared" si="25"/>
        <v>324.52380952380952</v>
      </c>
      <c r="EI639" s="1512"/>
      <c r="EJ639" s="1512"/>
      <c r="EK639" s="1512"/>
      <c r="EL639" s="1512"/>
      <c r="EM639" s="1512" t="e">
        <f t="shared" si="26"/>
        <v>#VALUE!</v>
      </c>
      <c r="EN639" s="1512"/>
      <c r="EO639" s="1512"/>
      <c r="EP639" s="1512"/>
      <c r="EQ639" s="1512"/>
      <c r="ER639" s="1512" t="e">
        <f t="shared" si="27"/>
        <v>#VALUE!</v>
      </c>
      <c r="ES639" s="1512"/>
      <c r="ET639" s="1512"/>
      <c r="EU639" s="1512"/>
      <c r="EV639" s="1512"/>
      <c r="EW639" s="1512" t="e">
        <f t="shared" si="28"/>
        <v>#VALUE!</v>
      </c>
      <c r="EX639" s="1512"/>
      <c r="EY639" s="1512"/>
      <c r="EZ639" s="1512"/>
      <c r="FA639" s="1512"/>
    </row>
    <row r="640" spans="2:157" ht="13" customHeight="1">
      <c r="B640" s="1621" t="s">
        <v>267</v>
      </c>
      <c r="C640" s="1622"/>
      <c r="D640" s="1622"/>
      <c r="E640" s="1622"/>
      <c r="F640" s="1622"/>
      <c r="G640" s="1622"/>
      <c r="H640" s="1622"/>
      <c r="I640" s="1622"/>
      <c r="J640" s="1622"/>
      <c r="K640" s="1622"/>
      <c r="L640" s="1622"/>
      <c r="M640" s="1622"/>
      <c r="N640" s="1622"/>
      <c r="O640" s="1622"/>
      <c r="P640" s="1622"/>
      <c r="Q640" s="1622"/>
      <c r="R640" s="1622"/>
      <c r="S640" s="1622"/>
      <c r="T640" s="1622"/>
      <c r="U640" s="1622"/>
      <c r="V640" s="1622"/>
      <c r="W640" s="1622"/>
      <c r="X640" s="1622"/>
      <c r="Y640" s="1622"/>
      <c r="Z640" s="1622"/>
      <c r="AA640" s="1622"/>
      <c r="AB640" s="1622"/>
      <c r="AC640" s="1622"/>
      <c r="AD640" s="1622"/>
      <c r="AE640" s="1622"/>
      <c r="AF640" s="1622"/>
      <c r="AG640" s="1622"/>
      <c r="AH640" s="1622"/>
      <c r="AI640" s="1622"/>
      <c r="AJ640" s="1622"/>
      <c r="AK640" s="1622"/>
      <c r="AL640" s="1622"/>
      <c r="AM640" s="1622"/>
      <c r="AN640" s="1623"/>
      <c r="AO640" s="1428">
        <f>37047024-195000</f>
        <v>36852024</v>
      </c>
      <c r="AP640" s="1429"/>
      <c r="AQ640" s="1429"/>
      <c r="AR640" s="1429"/>
      <c r="AS640" s="1430"/>
      <c r="AV640" s="3"/>
      <c r="AW640" s="3"/>
      <c r="AX640" s="3"/>
      <c r="AY640" s="3"/>
      <c r="AZ640" s="34"/>
      <c r="BA640" s="34"/>
      <c r="BB640" s="34"/>
      <c r="BC640" s="34"/>
      <c r="BD640" s="34"/>
      <c r="BE640" s="34"/>
      <c r="BF640" s="34"/>
      <c r="BG640" s="34"/>
      <c r="BH640" s="34"/>
      <c r="BI640" s="34"/>
      <c r="BJ640" s="34"/>
      <c r="BK640" s="34"/>
      <c r="BL640" s="34"/>
      <c r="BM640" s="34"/>
      <c r="BN640" s="1517">
        <f>IF(J776="SRO/Studio",O776,0)</f>
        <v>0</v>
      </c>
      <c r="BO640" s="1518"/>
      <c r="BP640" s="1518"/>
      <c r="BQ640" s="1518"/>
      <c r="BR640" s="1519"/>
      <c r="BS640" s="1526">
        <f>IF(J776="1 Bedroom",O776,0)</f>
        <v>0</v>
      </c>
      <c r="BT640" s="1526"/>
      <c r="BU640" s="1526"/>
      <c r="BV640" s="1526"/>
      <c r="BW640" s="1526"/>
      <c r="BX640" s="1526">
        <f>IF(J776="2 Bedrooms",O776,0)</f>
        <v>0</v>
      </c>
      <c r="BY640" s="1526"/>
      <c r="BZ640" s="1526"/>
      <c r="CA640" s="1526"/>
      <c r="CB640" s="1526"/>
      <c r="CC640" s="1526">
        <f>IF(J776="3 Bedrooms",O776,0)</f>
        <v>0</v>
      </c>
      <c r="CD640" s="1526"/>
      <c r="CE640" s="1526"/>
      <c r="CF640" s="1526"/>
      <c r="CG640" s="1526"/>
      <c r="CH640" s="1526">
        <f>IF(J776="4 Bedrooms",O776,0)</f>
        <v>0</v>
      </c>
      <c r="CI640" s="1526"/>
      <c r="CJ640" s="1526"/>
      <c r="CK640" s="1526"/>
      <c r="CL640" s="1526"/>
      <c r="CM640" s="1526">
        <f>IF(J776="5 Bedrooms",O776,0)</f>
        <v>0</v>
      </c>
      <c r="CN640" s="1526"/>
      <c r="CO640" s="1526"/>
      <c r="CP640" s="1526"/>
      <c r="CQ640" s="1526"/>
      <c r="CV640" s="3"/>
      <c r="CW640" s="3"/>
      <c r="CX640" s="3"/>
      <c r="CY640" s="3"/>
      <c r="CZ640" s="3"/>
      <c r="DA640" s="3"/>
      <c r="DB640" s="3"/>
      <c r="DC640" s="3"/>
      <c r="DD640" s="3"/>
      <c r="DE640" s="3"/>
      <c r="DF640" s="3"/>
      <c r="DX640" s="1512" t="e">
        <f t="shared" si="29"/>
        <v>#VALUE!</v>
      </c>
      <c r="DY640" s="1512"/>
      <c r="DZ640" s="1512"/>
      <c r="EA640" s="1512"/>
      <c r="EB640" s="1512"/>
      <c r="EC640" s="1512" t="e">
        <f t="shared" si="24"/>
        <v>#VALUE!</v>
      </c>
      <c r="ED640" s="1512"/>
      <c r="EE640" s="1512"/>
      <c r="EF640" s="1512"/>
      <c r="EG640" s="1512"/>
      <c r="EH640" s="1512" t="e">
        <f t="shared" si="25"/>
        <v>#VALUE!</v>
      </c>
      <c r="EI640" s="1512"/>
      <c r="EJ640" s="1512"/>
      <c r="EK640" s="1512"/>
      <c r="EL640" s="1512"/>
      <c r="EM640" s="1512">
        <f t="shared" si="26"/>
        <v>224.28571428571428</v>
      </c>
      <c r="EN640" s="1512"/>
      <c r="EO640" s="1512"/>
      <c r="EP640" s="1512"/>
      <c r="EQ640" s="1512"/>
      <c r="ER640" s="1512" t="e">
        <f t="shared" si="27"/>
        <v>#VALUE!</v>
      </c>
      <c r="ES640" s="1512"/>
      <c r="ET640" s="1512"/>
      <c r="EU640" s="1512"/>
      <c r="EV640" s="1512"/>
      <c r="EW640" s="1512" t="e">
        <f t="shared" si="28"/>
        <v>#VALUE!</v>
      </c>
      <c r="EX640" s="1512"/>
      <c r="EY640" s="1512"/>
      <c r="EZ640" s="1512"/>
      <c r="FA640" s="1512"/>
    </row>
    <row r="641" spans="1:157" ht="13" customHeight="1">
      <c r="B641" s="1776" t="s">
        <v>268</v>
      </c>
      <c r="C641" s="1718"/>
      <c r="D641" s="1718"/>
      <c r="E641" s="1718"/>
      <c r="F641" s="1718"/>
      <c r="G641" s="1718"/>
      <c r="H641" s="1718"/>
      <c r="I641" s="1718"/>
      <c r="J641" s="1718"/>
      <c r="K641" s="1718"/>
      <c r="L641" s="1718"/>
      <c r="M641" s="1718"/>
      <c r="N641" s="1718"/>
      <c r="O641" s="1718"/>
      <c r="P641" s="1718"/>
      <c r="Q641" s="1718"/>
      <c r="R641" s="1718"/>
      <c r="S641" s="1718"/>
      <c r="T641" s="1718"/>
      <c r="U641" s="1718"/>
      <c r="V641" s="1718"/>
      <c r="W641" s="1718"/>
      <c r="X641" s="1718"/>
      <c r="Y641" s="1718"/>
      <c r="Z641" s="1718"/>
      <c r="AA641" s="1718"/>
      <c r="AB641" s="1718"/>
      <c r="AC641" s="1718"/>
      <c r="AD641" s="1718"/>
      <c r="AE641" s="1718"/>
      <c r="AF641" s="1718"/>
      <c r="AG641" s="1718"/>
      <c r="AH641" s="1718"/>
      <c r="AI641" s="1718"/>
      <c r="AJ641" s="1718"/>
      <c r="AK641" s="1718"/>
      <c r="AL641" s="1718"/>
      <c r="AM641" s="1718"/>
      <c r="AN641" s="1777"/>
      <c r="AO641" s="1662">
        <f>AO639+AO640</f>
        <v>58392816</v>
      </c>
      <c r="AP641" s="1663"/>
      <c r="AQ641" s="1663"/>
      <c r="AR641" s="1663"/>
      <c r="AS641" s="1664"/>
      <c r="AV641" s="3"/>
      <c r="AW641" s="3"/>
      <c r="AX641" s="3"/>
      <c r="AY641" s="3"/>
      <c r="AZ641" s="34"/>
      <c r="BA641" s="34"/>
      <c r="BB641" s="34"/>
      <c r="BC641" s="34"/>
      <c r="BD641" s="34"/>
      <c r="BE641" s="34"/>
      <c r="BF641" s="34"/>
      <c r="BG641" s="34"/>
      <c r="BH641" s="34"/>
      <c r="BI641" s="34"/>
      <c r="BJ641" s="34"/>
      <c r="BK641" s="34"/>
      <c r="BL641" s="34"/>
      <c r="BM641" s="34"/>
      <c r="BN641" s="1531">
        <f>SUM(BN637:BR640)</f>
        <v>0</v>
      </c>
      <c r="BO641" s="1722"/>
      <c r="BP641" s="1722"/>
      <c r="BQ641" s="1722"/>
      <c r="BR641" s="1532"/>
      <c r="BS641" s="1520">
        <f>SUM(BS637:BW640)</f>
        <v>0</v>
      </c>
      <c r="BT641" s="1521"/>
      <c r="BU641" s="1521"/>
      <c r="BV641" s="1521"/>
      <c r="BW641" s="1522"/>
      <c r="BX641" s="1520">
        <f>SUM(BX637:CB640)</f>
        <v>1</v>
      </c>
      <c r="BY641" s="1521"/>
      <c r="BZ641" s="1521"/>
      <c r="CA641" s="1521"/>
      <c r="CB641" s="1522"/>
      <c r="CC641" s="1520">
        <f>SUM(CC637:CG640)</f>
        <v>0</v>
      </c>
      <c r="CD641" s="1521"/>
      <c r="CE641" s="1521"/>
      <c r="CF641" s="1521"/>
      <c r="CG641" s="1522"/>
      <c r="CH641" s="1520">
        <f>SUM(CH637:CL640)</f>
        <v>0</v>
      </c>
      <c r="CI641" s="1521"/>
      <c r="CJ641" s="1521"/>
      <c r="CK641" s="1521"/>
      <c r="CL641" s="1522"/>
      <c r="CM641" s="1520">
        <f>SUM(CM637:CQ640)</f>
        <v>0</v>
      </c>
      <c r="CN641" s="1521"/>
      <c r="CO641" s="1521"/>
      <c r="CP641" s="1521"/>
      <c r="CQ641" s="1522"/>
      <c r="CS641" s="895">
        <f>BN641+BS641+BX641+CC641+CH641+CM641</f>
        <v>1</v>
      </c>
      <c r="CT641" s="57" t="s">
        <v>2051</v>
      </c>
      <c r="CU641" s="3"/>
      <c r="CV641" s="3"/>
      <c r="CW641" s="3"/>
      <c r="CX641" s="3"/>
      <c r="CY641" s="3"/>
      <c r="CZ641" s="3"/>
      <c r="DA641" s="3"/>
      <c r="DB641" s="3"/>
      <c r="DC641" s="3"/>
      <c r="DD641" s="3"/>
      <c r="DE641" s="3"/>
      <c r="DF641" s="3"/>
      <c r="DX641" s="1512" t="e">
        <f t="shared" si="29"/>
        <v>#VALUE!</v>
      </c>
      <c r="DY641" s="1512"/>
      <c r="DZ641" s="1512"/>
      <c r="EA641" s="1512"/>
      <c r="EB641" s="1512"/>
      <c r="EC641" s="1512">
        <f t="shared" si="24"/>
        <v>387.82051282051282</v>
      </c>
      <c r="ED641" s="1512"/>
      <c r="EE641" s="1512"/>
      <c r="EF641" s="1512"/>
      <c r="EG641" s="1512"/>
      <c r="EH641" s="1512" t="e">
        <f t="shared" si="25"/>
        <v>#VALUE!</v>
      </c>
      <c r="EI641" s="1512"/>
      <c r="EJ641" s="1512"/>
      <c r="EK641" s="1512"/>
      <c r="EL641" s="1512"/>
      <c r="EM641" s="1512" t="e">
        <f t="shared" si="26"/>
        <v>#VALUE!</v>
      </c>
      <c r="EN641" s="1512"/>
      <c r="EO641" s="1512"/>
      <c r="EP641" s="1512"/>
      <c r="EQ641" s="1512"/>
      <c r="ER641" s="1512" t="e">
        <f t="shared" si="27"/>
        <v>#VALUE!</v>
      </c>
      <c r="ES641" s="1512"/>
      <c r="ET641" s="1512"/>
      <c r="EU641" s="1512"/>
      <c r="EV641" s="1512"/>
      <c r="EW641" s="1512" t="e">
        <f t="shared" si="28"/>
        <v>#VALUE!</v>
      </c>
      <c r="EX641" s="1512"/>
      <c r="EY641" s="1512"/>
      <c r="EZ641" s="1512"/>
      <c r="FA641" s="151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512" t="e">
        <f t="shared" si="29"/>
        <v>#VALUE!</v>
      </c>
      <c r="DY642" s="1512"/>
      <c r="DZ642" s="1512"/>
      <c r="EA642" s="1512"/>
      <c r="EB642" s="1512"/>
      <c r="EC642" s="1512" t="e">
        <f t="shared" si="24"/>
        <v>#VALUE!</v>
      </c>
      <c r="ED642" s="1512"/>
      <c r="EE642" s="1512"/>
      <c r="EF642" s="1512"/>
      <c r="EG642" s="1512"/>
      <c r="EH642" s="1512">
        <f t="shared" si="25"/>
        <v>392.14285714285711</v>
      </c>
      <c r="EI642" s="1512"/>
      <c r="EJ642" s="1512"/>
      <c r="EK642" s="1512"/>
      <c r="EL642" s="1512"/>
      <c r="EM642" s="1512" t="e">
        <f t="shared" si="26"/>
        <v>#VALUE!</v>
      </c>
      <c r="EN642" s="1512"/>
      <c r="EO642" s="1512"/>
      <c r="EP642" s="1512"/>
      <c r="EQ642" s="1512"/>
      <c r="ER642" s="1512" t="e">
        <f t="shared" si="27"/>
        <v>#VALUE!</v>
      </c>
      <c r="ES642" s="1512"/>
      <c r="ET642" s="1512"/>
      <c r="EU642" s="1512"/>
      <c r="EV642" s="1512"/>
      <c r="EW642" s="1512" t="e">
        <f t="shared" si="28"/>
        <v>#VALUE!</v>
      </c>
      <c r="EX642" s="1512"/>
      <c r="EY642" s="1512"/>
      <c r="EZ642" s="1512"/>
      <c r="FA642" s="1512"/>
    </row>
    <row r="643" spans="1:157" ht="13" customHeight="1">
      <c r="A643" s="55" t="s">
        <v>112</v>
      </c>
      <c r="B643" t="s">
        <v>471</v>
      </c>
      <c r="G643" s="1455" t="str">
        <f>C627</f>
        <v>Citibank Conventional Perm Loan</v>
      </c>
      <c r="H643" s="1455"/>
      <c r="I643" s="1455"/>
      <c r="J643" s="1455"/>
      <c r="K643" s="1455"/>
      <c r="L643" s="1455"/>
      <c r="M643" s="1455"/>
      <c r="N643" s="1455"/>
      <c r="O643" s="1455"/>
      <c r="P643" s="1455"/>
      <c r="Q643" s="1455"/>
      <c r="R643" s="1455"/>
      <c r="S643" s="8"/>
      <c r="T643" s="55" t="s">
        <v>113</v>
      </c>
      <c r="U643" t="s">
        <v>471</v>
      </c>
      <c r="Z643" s="1455" t="str">
        <f>C628</f>
        <v>HCD Housing Development Fund</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12" t="e">
        <f t="shared" si="29"/>
        <v>#VALUE!</v>
      </c>
      <c r="DY643" s="1512"/>
      <c r="DZ643" s="1512"/>
      <c r="EA643" s="1512"/>
      <c r="EB643" s="1512"/>
      <c r="EC643" s="1512" t="e">
        <f t="shared" si="24"/>
        <v>#VALUE!</v>
      </c>
      <c r="ED643" s="1512"/>
      <c r="EE643" s="1512"/>
      <c r="EF643" s="1512"/>
      <c r="EG643" s="1512"/>
      <c r="EH643" s="1512" t="e">
        <f t="shared" si="25"/>
        <v>#VALUE!</v>
      </c>
      <c r="EI643" s="1512"/>
      <c r="EJ643" s="1512"/>
      <c r="EK643" s="1512"/>
      <c r="EL643" s="1512"/>
      <c r="EM643" s="1512">
        <f t="shared" si="26"/>
        <v>542.28571428571422</v>
      </c>
      <c r="EN643" s="1512"/>
      <c r="EO643" s="1512"/>
      <c r="EP643" s="1512"/>
      <c r="EQ643" s="1512"/>
      <c r="ER643" s="1512" t="e">
        <f t="shared" si="27"/>
        <v>#VALUE!</v>
      </c>
      <c r="ES643" s="1512"/>
      <c r="ET643" s="1512"/>
      <c r="EU643" s="1512"/>
      <c r="EV643" s="1512"/>
      <c r="EW643" s="1512" t="e">
        <f t="shared" si="28"/>
        <v>#VALUE!</v>
      </c>
      <c r="EX643" s="1512"/>
      <c r="EY643" s="1512"/>
      <c r="EZ643" s="1512"/>
      <c r="FA643" s="1512"/>
    </row>
    <row r="644" spans="1:157" ht="13" customHeight="1">
      <c r="A644" s="22"/>
      <c r="B644" t="s">
        <v>85</v>
      </c>
      <c r="G644" s="1475" t="str">
        <f>G569</f>
        <v>300 South Grand Avenue, Suite 3110</v>
      </c>
      <c r="H644" s="1475"/>
      <c r="I644" s="1475"/>
      <c r="J644" s="1475"/>
      <c r="K644" s="1475"/>
      <c r="L644" s="1475"/>
      <c r="M644" s="1475"/>
      <c r="N644" s="1475"/>
      <c r="O644" s="1475"/>
      <c r="P644" s="1475"/>
      <c r="Q644" s="1475"/>
      <c r="R644" s="1475"/>
      <c r="S644" s="8"/>
      <c r="T644" s="22"/>
      <c r="U644" t="s">
        <v>85</v>
      </c>
      <c r="Z644" s="1475" t="str">
        <f>Z569</f>
        <v>2020 West El Camino Avenue</v>
      </c>
      <c r="AA644" s="1475"/>
      <c r="AB644" s="1475"/>
      <c r="AC644" s="1475"/>
      <c r="AD644" s="1475"/>
      <c r="AE644" s="1475"/>
      <c r="AF644" s="1475"/>
      <c r="AG644" s="1475"/>
      <c r="AH644" s="1475"/>
      <c r="AI644" s="1475"/>
      <c r="AJ644" s="1475"/>
      <c r="AK644" s="147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12" t="e">
        <f t="shared" si="29"/>
        <v>#VALUE!</v>
      </c>
      <c r="DY644" s="1512"/>
      <c r="DZ644" s="1512"/>
      <c r="EA644" s="1512"/>
      <c r="EB644" s="1512"/>
      <c r="EC644" s="1512">
        <f t="shared" si="24"/>
        <v>330.46153846153845</v>
      </c>
      <c r="ED644" s="1512"/>
      <c r="EE644" s="1512"/>
      <c r="EF644" s="1512"/>
      <c r="EG644" s="1512"/>
      <c r="EH644" s="1512" t="e">
        <f t="shared" si="25"/>
        <v>#VALUE!</v>
      </c>
      <c r="EI644" s="1512"/>
      <c r="EJ644" s="1512"/>
      <c r="EK644" s="1512"/>
      <c r="EL644" s="1512"/>
      <c r="EM644" s="1512" t="e">
        <f t="shared" si="26"/>
        <v>#VALUE!</v>
      </c>
      <c r="EN644" s="1512"/>
      <c r="EO644" s="1512"/>
      <c r="EP644" s="1512"/>
      <c r="EQ644" s="1512"/>
      <c r="ER644" s="1512" t="e">
        <f t="shared" si="27"/>
        <v>#VALUE!</v>
      </c>
      <c r="ES644" s="1512"/>
      <c r="ET644" s="1512"/>
      <c r="EU644" s="1512"/>
      <c r="EV644" s="1512"/>
      <c r="EW644" s="1512" t="e">
        <f t="shared" si="28"/>
        <v>#VALUE!</v>
      </c>
      <c r="EX644" s="1512"/>
      <c r="EY644" s="1512"/>
      <c r="EZ644" s="1512"/>
      <c r="FA644" s="1512"/>
    </row>
    <row r="645" spans="1:157" ht="13" customHeight="1">
      <c r="A645" s="22"/>
      <c r="B645" t="s">
        <v>588</v>
      </c>
      <c r="G645" s="1475" t="str">
        <f t="shared" ref="G645:G646" si="30">G570</f>
        <v>Los Angeles, CA 90071</v>
      </c>
      <c r="H645" s="1475"/>
      <c r="I645" s="1475"/>
      <c r="J645" s="1475"/>
      <c r="K645" s="1475"/>
      <c r="L645" s="1475"/>
      <c r="M645" s="1475"/>
      <c r="N645" s="1475"/>
      <c r="O645" s="1475"/>
      <c r="P645" s="1475"/>
      <c r="Q645" s="1475"/>
      <c r="R645" s="1475"/>
      <c r="T645" s="22"/>
      <c r="U645" t="s">
        <v>588</v>
      </c>
      <c r="Z645" s="1471" t="str">
        <f t="shared" ref="Z645:Z646" si="31">Z570</f>
        <v>Sacramento, CA 95833</v>
      </c>
      <c r="AA645" s="1471"/>
      <c r="AB645" s="1471"/>
      <c r="AC645" s="1471"/>
      <c r="AD645" s="1471"/>
      <c r="AE645" s="1471"/>
      <c r="AF645" s="1471"/>
      <c r="AG645" s="1471"/>
      <c r="AH645" s="1471"/>
      <c r="AI645" s="1471"/>
      <c r="AJ645" s="1471"/>
      <c r="AK645" s="1471"/>
      <c r="AV645" s="3"/>
      <c r="AW645" s="3"/>
      <c r="AX645" s="3"/>
      <c r="AY645" s="3"/>
      <c r="AZ645" s="3"/>
      <c r="BA645" s="3"/>
      <c r="BB645" s="3"/>
      <c r="BC645" s="3"/>
      <c r="BD645" s="3"/>
      <c r="BE645" s="3"/>
      <c r="BF645" s="3"/>
      <c r="BG645" s="3"/>
      <c r="BH645" s="3"/>
      <c r="BI645" s="3"/>
      <c r="BJ645" s="3"/>
      <c r="BK645" s="3"/>
      <c r="BL645" s="3"/>
      <c r="BM645" s="3"/>
      <c r="BN645" s="1517">
        <f t="shared" ref="BN645:BN654" si="32">IF(J787="SRO/Studio",O787,0)</f>
        <v>0</v>
      </c>
      <c r="BO645" s="1518"/>
      <c r="BP645" s="1518"/>
      <c r="BQ645" s="1518"/>
      <c r="BR645" s="1519"/>
      <c r="BS645" s="1526">
        <f t="shared" ref="BS645:BS654" si="33">IF(J787="1 Bedroom",O787,0)</f>
        <v>0</v>
      </c>
      <c r="BT645" s="1526"/>
      <c r="BU645" s="1526"/>
      <c r="BV645" s="1526"/>
      <c r="BW645" s="1526"/>
      <c r="BX645" s="1526">
        <f t="shared" ref="BX645:BX654" si="34">IF(J787="2 Bedrooms",O787,0)</f>
        <v>0</v>
      </c>
      <c r="BY645" s="1526"/>
      <c r="BZ645" s="1526"/>
      <c r="CA645" s="1526"/>
      <c r="CB645" s="1526"/>
      <c r="CC645" s="1526">
        <f t="shared" ref="CC645:CC654" si="35">IF(J787="3 Bedrooms",O787,0)</f>
        <v>0</v>
      </c>
      <c r="CD645" s="1526"/>
      <c r="CE645" s="1526"/>
      <c r="CF645" s="1526"/>
      <c r="CG645" s="1526"/>
      <c r="CH645" s="1526">
        <f t="shared" ref="CH645:CH654" si="36">IF(J787="4 Bedrooms",O787,0)</f>
        <v>0</v>
      </c>
      <c r="CI645" s="1526"/>
      <c r="CJ645" s="1526"/>
      <c r="CK645" s="1526"/>
      <c r="CL645" s="1526"/>
      <c r="CM645" s="1526">
        <f t="shared" ref="CM645:CM654" si="37">IF(J787="5 Bedrooms",O787,0)</f>
        <v>0</v>
      </c>
      <c r="CN645" s="1526"/>
      <c r="CO645" s="1526"/>
      <c r="CP645" s="1526"/>
      <c r="CQ645" s="1526"/>
      <c r="CR645" s="6"/>
      <c r="CS645" s="1517">
        <f t="shared" ref="CS645:CS654" si="38">IF(AND(BN645&gt;=1,AH787&gt;=0.1,AH787&lt;=1),O787,0)</f>
        <v>0</v>
      </c>
      <c r="CT645" s="1518"/>
      <c r="CU645" s="1518"/>
      <c r="CV645" s="1518"/>
      <c r="CW645" s="1519"/>
      <c r="CX645" s="1517">
        <f t="shared" ref="CX645:CX654" si="39">IF(AND(BS645&gt;=1,AH787&gt;=0.1,AH787&lt;=1),O787,0)</f>
        <v>0</v>
      </c>
      <c r="CY645" s="1518"/>
      <c r="CZ645" s="1518"/>
      <c r="DA645" s="1518"/>
      <c r="DB645" s="1519"/>
      <c r="DC645" s="1517">
        <f t="shared" ref="DC645:DC654" si="40">IF(AND(BX645&gt;=1,AH787&gt;=0.1,AH787&lt;=1),O787,0)</f>
        <v>0</v>
      </c>
      <c r="DD645" s="1518"/>
      <c r="DE645" s="1518"/>
      <c r="DF645" s="1518"/>
      <c r="DG645" s="1519"/>
      <c r="DH645" s="1517">
        <f t="shared" ref="DH645:DH654" si="41">IF(AND(CC645&gt;=1,AH787&gt;=0.1,AH787&lt;=1),O787,0)</f>
        <v>0</v>
      </c>
      <c r="DI645" s="1518"/>
      <c r="DJ645" s="1518"/>
      <c r="DK645" s="1518"/>
      <c r="DL645" s="1519"/>
      <c r="DM645" s="1517">
        <f t="shared" ref="DM645:DM654" si="42">IF(AND(CH645&gt;=1,AH787&gt;=0.1,AH787&lt;=1),O787,0)</f>
        <v>0</v>
      </c>
      <c r="DN645" s="1518"/>
      <c r="DO645" s="1518"/>
      <c r="DP645" s="1518"/>
      <c r="DQ645" s="1519"/>
      <c r="DR645" s="1517">
        <f t="shared" ref="DR645:DR654" si="43">IF(AND(CM645&gt;=1,AH787&gt;=0.1,AH787&lt;=1),O787,0)</f>
        <v>0</v>
      </c>
      <c r="DS645" s="1518"/>
      <c r="DT645" s="1518"/>
      <c r="DU645" s="1518"/>
      <c r="DV645" s="1519"/>
      <c r="DX645" s="1512" t="e">
        <f t="shared" si="29"/>
        <v>#VALUE!</v>
      </c>
      <c r="DY645" s="1512"/>
      <c r="DZ645" s="1512"/>
      <c r="EA645" s="1512"/>
      <c r="EB645" s="1512"/>
      <c r="EC645" s="1512" t="e">
        <f t="shared" si="24"/>
        <v>#VALUE!</v>
      </c>
      <c r="ED645" s="1512"/>
      <c r="EE645" s="1512"/>
      <c r="EF645" s="1512"/>
      <c r="EG645" s="1512"/>
      <c r="EH645" s="1512">
        <f t="shared" si="25"/>
        <v>459.76190476190476</v>
      </c>
      <c r="EI645" s="1512"/>
      <c r="EJ645" s="1512"/>
      <c r="EK645" s="1512"/>
      <c r="EL645" s="1512"/>
      <c r="EM645" s="1512" t="e">
        <f t="shared" si="26"/>
        <v>#VALUE!</v>
      </c>
      <c r="EN645" s="1512"/>
      <c r="EO645" s="1512"/>
      <c r="EP645" s="1512"/>
      <c r="EQ645" s="1512"/>
      <c r="ER645" s="1512" t="e">
        <f t="shared" si="27"/>
        <v>#VALUE!</v>
      </c>
      <c r="ES645" s="1512"/>
      <c r="ET645" s="1512"/>
      <c r="EU645" s="1512"/>
      <c r="EV645" s="1512"/>
      <c r="EW645" s="1512" t="e">
        <f t="shared" si="28"/>
        <v>#VALUE!</v>
      </c>
      <c r="EX645" s="1512"/>
      <c r="EY645" s="1512"/>
      <c r="EZ645" s="1512"/>
      <c r="FA645" s="1512"/>
    </row>
    <row r="646" spans="1:157" ht="13" customHeight="1">
      <c r="A646" s="22"/>
      <c r="B646" t="s">
        <v>17</v>
      </c>
      <c r="G646" s="1475" t="str">
        <f t="shared" si="30"/>
        <v>Hao Li</v>
      </c>
      <c r="H646" s="1475"/>
      <c r="I646" s="1475"/>
      <c r="J646" s="1475"/>
      <c r="K646" s="1475"/>
      <c r="L646" s="1475"/>
      <c r="M646" s="1475"/>
      <c r="N646" s="1475"/>
      <c r="O646" s="1475"/>
      <c r="P646" s="1475"/>
      <c r="Q646" s="1475"/>
      <c r="R646" s="1475"/>
      <c r="S646" s="8"/>
      <c r="T646" s="22"/>
      <c r="U646" t="s">
        <v>17</v>
      </c>
      <c r="Z646" s="1471" t="str">
        <f t="shared" si="31"/>
        <v>Gustavo Velasquez</v>
      </c>
      <c r="AA646" s="1471"/>
      <c r="AB646" s="1471"/>
      <c r="AC646" s="1471"/>
      <c r="AD646" s="1471"/>
      <c r="AE646" s="1471"/>
      <c r="AF646" s="1471"/>
      <c r="AG646" s="1471"/>
      <c r="AH646" s="1471"/>
      <c r="AI646" s="1471"/>
      <c r="AJ646" s="1471"/>
      <c r="AK646" s="1471"/>
      <c r="AZ646" s="3"/>
      <c r="BA646" s="3"/>
      <c r="BB646" s="3"/>
      <c r="BC646" s="3"/>
      <c r="BD646" s="3"/>
      <c r="BE646" s="3"/>
      <c r="BF646" s="3"/>
      <c r="BG646" s="3"/>
      <c r="BH646" s="3"/>
      <c r="BI646" s="3"/>
      <c r="BJ646" s="3"/>
      <c r="BK646" s="3"/>
      <c r="BL646" s="3"/>
      <c r="BM646" s="3"/>
      <c r="BN646" s="1517">
        <f t="shared" si="32"/>
        <v>0</v>
      </c>
      <c r="BO646" s="1518"/>
      <c r="BP646" s="1518"/>
      <c r="BQ646" s="1518"/>
      <c r="BR646" s="1519"/>
      <c r="BS646" s="1526">
        <f t="shared" si="33"/>
        <v>0</v>
      </c>
      <c r="BT646" s="1526"/>
      <c r="BU646" s="1526"/>
      <c r="BV646" s="1526"/>
      <c r="BW646" s="1526"/>
      <c r="BX646" s="1526">
        <f t="shared" si="34"/>
        <v>0</v>
      </c>
      <c r="BY646" s="1526"/>
      <c r="BZ646" s="1526"/>
      <c r="CA646" s="1526"/>
      <c r="CB646" s="1526"/>
      <c r="CC646" s="1526">
        <f t="shared" si="35"/>
        <v>0</v>
      </c>
      <c r="CD646" s="1526"/>
      <c r="CE646" s="1526"/>
      <c r="CF646" s="1526"/>
      <c r="CG646" s="1526"/>
      <c r="CH646" s="1526">
        <f t="shared" si="36"/>
        <v>0</v>
      </c>
      <c r="CI646" s="1526"/>
      <c r="CJ646" s="1526"/>
      <c r="CK646" s="1526"/>
      <c r="CL646" s="1526"/>
      <c r="CM646" s="1526">
        <f t="shared" si="37"/>
        <v>0</v>
      </c>
      <c r="CN646" s="1526"/>
      <c r="CO646" s="1526"/>
      <c r="CP646" s="1526"/>
      <c r="CQ646" s="1526"/>
      <c r="CR646" s="6"/>
      <c r="CS646" s="1517">
        <f t="shared" si="38"/>
        <v>0</v>
      </c>
      <c r="CT646" s="1518"/>
      <c r="CU646" s="1518"/>
      <c r="CV646" s="1518"/>
      <c r="CW646" s="1519"/>
      <c r="CX646" s="1517">
        <f t="shared" si="39"/>
        <v>0</v>
      </c>
      <c r="CY646" s="1518"/>
      <c r="CZ646" s="1518"/>
      <c r="DA646" s="1518"/>
      <c r="DB646" s="1519"/>
      <c r="DC646" s="1517">
        <f t="shared" si="40"/>
        <v>0</v>
      </c>
      <c r="DD646" s="1518"/>
      <c r="DE646" s="1518"/>
      <c r="DF646" s="1518"/>
      <c r="DG646" s="1519"/>
      <c r="DH646" s="1517">
        <f t="shared" si="41"/>
        <v>0</v>
      </c>
      <c r="DI646" s="1518"/>
      <c r="DJ646" s="1518"/>
      <c r="DK646" s="1518"/>
      <c r="DL646" s="1519"/>
      <c r="DM646" s="1517">
        <f t="shared" si="42"/>
        <v>0</v>
      </c>
      <c r="DN646" s="1518"/>
      <c r="DO646" s="1518"/>
      <c r="DP646" s="1518"/>
      <c r="DQ646" s="1519"/>
      <c r="DR646" s="1517">
        <f t="shared" si="43"/>
        <v>0</v>
      </c>
      <c r="DS646" s="1518"/>
      <c r="DT646" s="1518"/>
      <c r="DU646" s="1518"/>
      <c r="DV646" s="1519"/>
      <c r="DX646" s="1512" t="e">
        <f t="shared" si="29"/>
        <v>#VALUE!</v>
      </c>
      <c r="DY646" s="1512"/>
      <c r="DZ646" s="1512"/>
      <c r="EA646" s="1512"/>
      <c r="EB646" s="1512"/>
      <c r="EC646" s="1512" t="e">
        <f t="shared" si="24"/>
        <v>#VALUE!</v>
      </c>
      <c r="ED646" s="1512"/>
      <c r="EE646" s="1512"/>
      <c r="EF646" s="1512"/>
      <c r="EG646" s="1512"/>
      <c r="EH646" s="1512" t="e">
        <f t="shared" si="25"/>
        <v>#VALUE!</v>
      </c>
      <c r="EI646" s="1512"/>
      <c r="EJ646" s="1512"/>
      <c r="EK646" s="1512"/>
      <c r="EL646" s="1512"/>
      <c r="EM646" s="1512">
        <f t="shared" si="26"/>
        <v>530</v>
      </c>
      <c r="EN646" s="1512"/>
      <c r="EO646" s="1512"/>
      <c r="EP646" s="1512"/>
      <c r="EQ646" s="1512"/>
      <c r="ER646" s="1512" t="e">
        <f t="shared" si="27"/>
        <v>#VALUE!</v>
      </c>
      <c r="ES646" s="1512"/>
      <c r="ET646" s="1512"/>
      <c r="EU646" s="1512"/>
      <c r="EV646" s="1512"/>
      <c r="EW646" s="1512" t="e">
        <f t="shared" si="28"/>
        <v>#VALUE!</v>
      </c>
      <c r="EX646" s="1512"/>
      <c r="EY646" s="1512"/>
      <c r="EZ646" s="1512"/>
      <c r="FA646" s="1512"/>
    </row>
    <row r="647" spans="1:157" ht="13" customHeight="1">
      <c r="A647" s="22"/>
      <c r="B647" t="s">
        <v>316</v>
      </c>
      <c r="G647" s="1474" t="str">
        <f>G572</f>
        <v>(213) 239-1914</v>
      </c>
      <c r="H647" s="1474"/>
      <c r="I647" s="1474"/>
      <c r="J647" s="1474"/>
      <c r="K647" s="1474"/>
      <c r="L647" s="1474"/>
      <c r="O647" s="33" t="s">
        <v>206</v>
      </c>
      <c r="P647" s="1476"/>
      <c r="Q647" s="1476"/>
      <c r="R647" s="1476"/>
      <c r="S647" s="10"/>
      <c r="T647" s="22"/>
      <c r="U647" t="s">
        <v>316</v>
      </c>
      <c r="Z647" s="1474" t="str">
        <f>Z572</f>
        <v>(800) 952-8356</v>
      </c>
      <c r="AA647" s="1474"/>
      <c r="AB647" s="1474"/>
      <c r="AC647" s="1474"/>
      <c r="AD647" s="1474"/>
      <c r="AE647" s="1474"/>
      <c r="AH647" s="33" t="s">
        <v>206</v>
      </c>
      <c r="AI647" s="1476"/>
      <c r="AJ647" s="1476"/>
      <c r="AK647" s="1476"/>
      <c r="AZ647" s="34"/>
      <c r="BA647" s="34"/>
      <c r="BB647" s="34"/>
      <c r="BC647" s="34"/>
      <c r="BD647" s="34"/>
      <c r="BE647" s="34"/>
      <c r="BF647" s="34"/>
      <c r="BG647" s="34"/>
      <c r="BH647" s="34"/>
      <c r="BI647" s="34"/>
      <c r="BJ647" s="34"/>
      <c r="BK647" s="34"/>
      <c r="BL647" s="34"/>
      <c r="BM647" s="34"/>
      <c r="BN647" s="1517">
        <f t="shared" si="32"/>
        <v>0</v>
      </c>
      <c r="BO647" s="1518"/>
      <c r="BP647" s="1518"/>
      <c r="BQ647" s="1518"/>
      <c r="BR647" s="1519"/>
      <c r="BS647" s="1526">
        <f t="shared" si="33"/>
        <v>0</v>
      </c>
      <c r="BT647" s="1526"/>
      <c r="BU647" s="1526"/>
      <c r="BV647" s="1526"/>
      <c r="BW647" s="1526"/>
      <c r="BX647" s="1526">
        <f t="shared" si="34"/>
        <v>0</v>
      </c>
      <c r="BY647" s="1526"/>
      <c r="BZ647" s="1526"/>
      <c r="CA647" s="1526"/>
      <c r="CB647" s="1526"/>
      <c r="CC647" s="1526">
        <f t="shared" si="35"/>
        <v>0</v>
      </c>
      <c r="CD647" s="1526"/>
      <c r="CE647" s="1526"/>
      <c r="CF647" s="1526"/>
      <c r="CG647" s="1526"/>
      <c r="CH647" s="1526">
        <f t="shared" si="36"/>
        <v>0</v>
      </c>
      <c r="CI647" s="1526"/>
      <c r="CJ647" s="1526"/>
      <c r="CK647" s="1526"/>
      <c r="CL647" s="1526"/>
      <c r="CM647" s="1526">
        <f t="shared" si="37"/>
        <v>0</v>
      </c>
      <c r="CN647" s="1526"/>
      <c r="CO647" s="1526"/>
      <c r="CP647" s="1526"/>
      <c r="CQ647" s="1526"/>
      <c r="CR647" s="6"/>
      <c r="CS647" s="1517">
        <f t="shared" si="38"/>
        <v>0</v>
      </c>
      <c r="CT647" s="1518"/>
      <c r="CU647" s="1518"/>
      <c r="CV647" s="1518"/>
      <c r="CW647" s="1519"/>
      <c r="CX647" s="1517">
        <f t="shared" si="39"/>
        <v>0</v>
      </c>
      <c r="CY647" s="1518"/>
      <c r="CZ647" s="1518"/>
      <c r="DA647" s="1518"/>
      <c r="DB647" s="1519"/>
      <c r="DC647" s="1517">
        <f t="shared" si="40"/>
        <v>0</v>
      </c>
      <c r="DD647" s="1518"/>
      <c r="DE647" s="1518"/>
      <c r="DF647" s="1518"/>
      <c r="DG647" s="1519"/>
      <c r="DH647" s="1517">
        <f t="shared" si="41"/>
        <v>0</v>
      </c>
      <c r="DI647" s="1518"/>
      <c r="DJ647" s="1518"/>
      <c r="DK647" s="1518"/>
      <c r="DL647" s="1519"/>
      <c r="DM647" s="1517">
        <f t="shared" si="42"/>
        <v>0</v>
      </c>
      <c r="DN647" s="1518"/>
      <c r="DO647" s="1518"/>
      <c r="DP647" s="1518"/>
      <c r="DQ647" s="1519"/>
      <c r="DR647" s="1517">
        <f t="shared" si="43"/>
        <v>0</v>
      </c>
      <c r="DS647" s="1518"/>
      <c r="DT647" s="1518"/>
      <c r="DU647" s="1518"/>
      <c r="DV647" s="1519"/>
      <c r="DX647" s="1512" t="e">
        <f t="shared" si="29"/>
        <v>#VALUE!</v>
      </c>
      <c r="DY647" s="1512"/>
      <c r="DZ647" s="1512"/>
      <c r="EA647" s="1512"/>
      <c r="EB647" s="1512"/>
      <c r="EC647" s="1512">
        <f t="shared" si="24"/>
        <v>379.07692307692304</v>
      </c>
      <c r="ED647" s="1512"/>
      <c r="EE647" s="1512"/>
      <c r="EF647" s="1512"/>
      <c r="EG647" s="1512"/>
      <c r="EH647" s="1512" t="e">
        <f t="shared" si="25"/>
        <v>#VALUE!</v>
      </c>
      <c r="EI647" s="1512"/>
      <c r="EJ647" s="1512"/>
      <c r="EK647" s="1512"/>
      <c r="EL647" s="1512"/>
      <c r="EM647" s="1512" t="e">
        <f t="shared" si="26"/>
        <v>#VALUE!</v>
      </c>
      <c r="EN647" s="1512"/>
      <c r="EO647" s="1512"/>
      <c r="EP647" s="1512"/>
      <c r="EQ647" s="1512"/>
      <c r="ER647" s="1512" t="e">
        <f t="shared" si="27"/>
        <v>#VALUE!</v>
      </c>
      <c r="ES647" s="1512"/>
      <c r="ET647" s="1512"/>
      <c r="EU647" s="1512"/>
      <c r="EV647" s="1512"/>
      <c r="EW647" s="1512" t="e">
        <f t="shared" si="28"/>
        <v>#VALUE!</v>
      </c>
      <c r="EX647" s="1512"/>
      <c r="EY647" s="1512"/>
      <c r="EZ647" s="1512"/>
      <c r="FA647" s="1512"/>
    </row>
    <row r="648" spans="1:157" ht="13" customHeight="1">
      <c r="A648" s="22"/>
      <c r="B648" t="s">
        <v>18</v>
      </c>
      <c r="H648" s="1465" t="s">
        <v>2743</v>
      </c>
      <c r="I648" s="1475"/>
      <c r="J648" s="1475"/>
      <c r="K648" s="1475"/>
      <c r="L648" s="1475"/>
      <c r="M648" s="1475"/>
      <c r="N648" s="1475"/>
      <c r="O648" s="1475"/>
      <c r="P648" s="1475"/>
      <c r="Q648" s="1475"/>
      <c r="R648" s="1475"/>
      <c r="S648" s="8"/>
      <c r="T648" s="22"/>
      <c r="U648" t="s">
        <v>18</v>
      </c>
      <c r="AA648" s="1475" t="str">
        <f>AA573</f>
        <v>construction and perm</v>
      </c>
      <c r="AB648" s="1475"/>
      <c r="AC648" s="1475"/>
      <c r="AD648" s="1475"/>
      <c r="AE648" s="1475"/>
      <c r="AF648" s="1475"/>
      <c r="AG648" s="1475"/>
      <c r="AH648" s="1475"/>
      <c r="AI648" s="1475"/>
      <c r="AJ648" s="1475"/>
      <c r="AK648" s="1475"/>
      <c r="AZ648" s="34"/>
      <c r="BA648" s="34"/>
      <c r="BB648" s="34"/>
      <c r="BC648" s="34"/>
      <c r="BD648" s="34"/>
      <c r="BE648" s="34"/>
      <c r="BF648" s="34"/>
      <c r="BG648" s="34"/>
      <c r="BH648" s="34"/>
      <c r="BI648" s="34"/>
      <c r="BJ648" s="34"/>
      <c r="BK648" s="34"/>
      <c r="BL648" s="34"/>
      <c r="BM648" s="34"/>
      <c r="BN648" s="1517">
        <f t="shared" si="32"/>
        <v>0</v>
      </c>
      <c r="BO648" s="1518"/>
      <c r="BP648" s="1518"/>
      <c r="BQ648" s="1518"/>
      <c r="BR648" s="1519"/>
      <c r="BS648" s="1526">
        <f t="shared" si="33"/>
        <v>0</v>
      </c>
      <c r="BT648" s="1526"/>
      <c r="BU648" s="1526"/>
      <c r="BV648" s="1526"/>
      <c r="BW648" s="1526"/>
      <c r="BX648" s="1526">
        <f t="shared" si="34"/>
        <v>0</v>
      </c>
      <c r="BY648" s="1526"/>
      <c r="BZ648" s="1526"/>
      <c r="CA648" s="1526"/>
      <c r="CB648" s="1526"/>
      <c r="CC648" s="1526">
        <f t="shared" si="35"/>
        <v>0</v>
      </c>
      <c r="CD648" s="1526"/>
      <c r="CE648" s="1526"/>
      <c r="CF648" s="1526"/>
      <c r="CG648" s="1526"/>
      <c r="CH648" s="1526">
        <f t="shared" si="36"/>
        <v>0</v>
      </c>
      <c r="CI648" s="1526"/>
      <c r="CJ648" s="1526"/>
      <c r="CK648" s="1526"/>
      <c r="CL648" s="1526"/>
      <c r="CM648" s="1526">
        <f t="shared" si="37"/>
        <v>0</v>
      </c>
      <c r="CN648" s="1526"/>
      <c r="CO648" s="1526"/>
      <c r="CP648" s="1526"/>
      <c r="CQ648" s="1526"/>
      <c r="CR648" s="6"/>
      <c r="CS648" s="1517">
        <f t="shared" si="38"/>
        <v>0</v>
      </c>
      <c r="CT648" s="1518"/>
      <c r="CU648" s="1518"/>
      <c r="CV648" s="1518"/>
      <c r="CW648" s="1519"/>
      <c r="CX648" s="1517">
        <f t="shared" si="39"/>
        <v>0</v>
      </c>
      <c r="CY648" s="1518"/>
      <c r="CZ648" s="1518"/>
      <c r="DA648" s="1518"/>
      <c r="DB648" s="1519"/>
      <c r="DC648" s="1517">
        <f t="shared" si="40"/>
        <v>0</v>
      </c>
      <c r="DD648" s="1518"/>
      <c r="DE648" s="1518"/>
      <c r="DF648" s="1518"/>
      <c r="DG648" s="1519"/>
      <c r="DH648" s="1517">
        <f t="shared" si="41"/>
        <v>0</v>
      </c>
      <c r="DI648" s="1518"/>
      <c r="DJ648" s="1518"/>
      <c r="DK648" s="1518"/>
      <c r="DL648" s="1519"/>
      <c r="DM648" s="1517">
        <f t="shared" si="42"/>
        <v>0</v>
      </c>
      <c r="DN648" s="1518"/>
      <c r="DO648" s="1518"/>
      <c r="DP648" s="1518"/>
      <c r="DQ648" s="1519"/>
      <c r="DR648" s="1517">
        <f t="shared" si="43"/>
        <v>0</v>
      </c>
      <c r="DS648" s="1518"/>
      <c r="DT648" s="1518"/>
      <c r="DU648" s="1518"/>
      <c r="DV648" s="1519"/>
      <c r="DX648" s="1512" t="e">
        <f t="shared" si="29"/>
        <v>#VALUE!</v>
      </c>
      <c r="DY648" s="1512"/>
      <c r="DZ648" s="1512"/>
      <c r="EA648" s="1512"/>
      <c r="EB648" s="1512"/>
      <c r="EC648" s="1512" t="e">
        <f t="shared" si="24"/>
        <v>#VALUE!</v>
      </c>
      <c r="ED648" s="1512"/>
      <c r="EE648" s="1512"/>
      <c r="EF648" s="1512"/>
      <c r="EG648" s="1512"/>
      <c r="EH648" s="1512">
        <f t="shared" si="25"/>
        <v>275.85714285714283</v>
      </c>
      <c r="EI648" s="1512"/>
      <c r="EJ648" s="1512"/>
      <c r="EK648" s="1512"/>
      <c r="EL648" s="1512"/>
      <c r="EM648" s="1512" t="e">
        <f t="shared" si="26"/>
        <v>#VALUE!</v>
      </c>
      <c r="EN648" s="1512"/>
      <c r="EO648" s="1512"/>
      <c r="EP648" s="1512"/>
      <c r="EQ648" s="1512"/>
      <c r="ER648" s="1512" t="e">
        <f t="shared" si="27"/>
        <v>#VALUE!</v>
      </c>
      <c r="ES648" s="1512"/>
      <c r="ET648" s="1512"/>
      <c r="EU648" s="1512"/>
      <c r="EV648" s="1512"/>
      <c r="EW648" s="1512" t="e">
        <f t="shared" si="28"/>
        <v>#VALUE!</v>
      </c>
      <c r="EX648" s="1512"/>
      <c r="EY648" s="1512"/>
      <c r="EZ648" s="1512"/>
      <c r="FA648" s="1512"/>
    </row>
    <row r="649" spans="1:157" ht="13" customHeight="1">
      <c r="A649" s="22"/>
      <c r="B649" t="s">
        <v>20</v>
      </c>
      <c r="N649" s="1467" t="s">
        <v>553</v>
      </c>
      <c r="O649" s="1467"/>
      <c r="T649" s="22"/>
      <c r="U649" t="s">
        <v>20</v>
      </c>
      <c r="AG649" s="1467" t="s">
        <v>553</v>
      </c>
      <c r="AH649" s="1467"/>
      <c r="AZ649" s="34"/>
      <c r="BA649" s="34"/>
      <c r="BB649" s="34"/>
      <c r="BC649" s="34"/>
      <c r="BD649" s="34"/>
      <c r="BE649" s="34"/>
      <c r="BF649" s="34"/>
      <c r="BG649" s="34"/>
      <c r="BH649" s="34"/>
      <c r="BI649" s="34"/>
      <c r="BJ649" s="34"/>
      <c r="BK649" s="34"/>
      <c r="BL649" s="34"/>
      <c r="BM649" s="34"/>
      <c r="BN649" s="1517">
        <f t="shared" si="32"/>
        <v>0</v>
      </c>
      <c r="BO649" s="1518"/>
      <c r="BP649" s="1518"/>
      <c r="BQ649" s="1518"/>
      <c r="BR649" s="1519"/>
      <c r="BS649" s="1526">
        <f t="shared" si="33"/>
        <v>0</v>
      </c>
      <c r="BT649" s="1526"/>
      <c r="BU649" s="1526"/>
      <c r="BV649" s="1526"/>
      <c r="BW649" s="1526"/>
      <c r="BX649" s="1526">
        <f t="shared" si="34"/>
        <v>0</v>
      </c>
      <c r="BY649" s="1526"/>
      <c r="BZ649" s="1526"/>
      <c r="CA649" s="1526"/>
      <c r="CB649" s="1526"/>
      <c r="CC649" s="1526">
        <f t="shared" si="35"/>
        <v>0</v>
      </c>
      <c r="CD649" s="1526"/>
      <c r="CE649" s="1526"/>
      <c r="CF649" s="1526"/>
      <c r="CG649" s="1526"/>
      <c r="CH649" s="1526">
        <f t="shared" si="36"/>
        <v>0</v>
      </c>
      <c r="CI649" s="1526"/>
      <c r="CJ649" s="1526"/>
      <c r="CK649" s="1526"/>
      <c r="CL649" s="1526"/>
      <c r="CM649" s="1526">
        <f t="shared" si="37"/>
        <v>0</v>
      </c>
      <c r="CN649" s="1526"/>
      <c r="CO649" s="1526"/>
      <c r="CP649" s="1526"/>
      <c r="CQ649" s="1526"/>
      <c r="CR649" s="6"/>
      <c r="CS649" s="1517">
        <f t="shared" si="38"/>
        <v>0</v>
      </c>
      <c r="CT649" s="1518"/>
      <c r="CU649" s="1518"/>
      <c r="CV649" s="1518"/>
      <c r="CW649" s="1519"/>
      <c r="CX649" s="1517">
        <f t="shared" si="39"/>
        <v>0</v>
      </c>
      <c r="CY649" s="1518"/>
      <c r="CZ649" s="1518"/>
      <c r="DA649" s="1518"/>
      <c r="DB649" s="1519"/>
      <c r="DC649" s="1517">
        <f t="shared" si="40"/>
        <v>0</v>
      </c>
      <c r="DD649" s="1518"/>
      <c r="DE649" s="1518"/>
      <c r="DF649" s="1518"/>
      <c r="DG649" s="1519"/>
      <c r="DH649" s="1517">
        <f t="shared" si="41"/>
        <v>0</v>
      </c>
      <c r="DI649" s="1518"/>
      <c r="DJ649" s="1518"/>
      <c r="DK649" s="1518"/>
      <c r="DL649" s="1519"/>
      <c r="DM649" s="1517">
        <f t="shared" si="42"/>
        <v>0</v>
      </c>
      <c r="DN649" s="1518"/>
      <c r="DO649" s="1518"/>
      <c r="DP649" s="1518"/>
      <c r="DQ649" s="1519"/>
      <c r="DR649" s="1517">
        <f t="shared" si="43"/>
        <v>0</v>
      </c>
      <c r="DS649" s="1518"/>
      <c r="DT649" s="1518"/>
      <c r="DU649" s="1518"/>
      <c r="DV649" s="1519"/>
      <c r="DX649" s="1512" t="e">
        <f t="shared" si="29"/>
        <v>#VALUE!</v>
      </c>
      <c r="DY649" s="1512"/>
      <c r="DZ649" s="1512"/>
      <c r="EA649" s="1512"/>
      <c r="EB649" s="1512"/>
      <c r="EC649" s="1512" t="e">
        <f t="shared" si="24"/>
        <v>#VALUE!</v>
      </c>
      <c r="ED649" s="1512"/>
      <c r="EE649" s="1512"/>
      <c r="EF649" s="1512"/>
      <c r="EG649" s="1512"/>
      <c r="EH649" s="1512" t="e">
        <f t="shared" si="25"/>
        <v>#VALUE!</v>
      </c>
      <c r="EI649" s="1512"/>
      <c r="EJ649" s="1512"/>
      <c r="EK649" s="1512"/>
      <c r="EL649" s="1512"/>
      <c r="EM649" s="1512">
        <f t="shared" si="26"/>
        <v>486.28571428571428</v>
      </c>
      <c r="EN649" s="1512"/>
      <c r="EO649" s="1512"/>
      <c r="EP649" s="1512"/>
      <c r="EQ649" s="1512"/>
      <c r="ER649" s="1512" t="e">
        <f t="shared" si="27"/>
        <v>#VALUE!</v>
      </c>
      <c r="ES649" s="1512"/>
      <c r="ET649" s="1512"/>
      <c r="EU649" s="1512"/>
      <c r="EV649" s="1512"/>
      <c r="EW649" s="1512" t="e">
        <f t="shared" si="28"/>
        <v>#VALUE!</v>
      </c>
      <c r="EX649" s="1512"/>
      <c r="EY649" s="1512"/>
      <c r="EZ649" s="1512"/>
      <c r="FA649" s="1512"/>
    </row>
    <row r="650" spans="1:157" ht="13" customHeight="1">
      <c r="A650" s="22"/>
      <c r="T650" s="22"/>
      <c r="AZ650" s="34"/>
      <c r="BA650" s="34"/>
      <c r="BB650" s="34"/>
      <c r="BC650" s="34"/>
      <c r="BD650" s="34"/>
      <c r="BE650" s="34"/>
      <c r="BF650" s="34"/>
      <c r="BG650" s="34"/>
      <c r="BH650" s="34"/>
      <c r="BI650" s="34"/>
      <c r="BJ650" s="34"/>
      <c r="BK650" s="34"/>
      <c r="BL650" s="34"/>
      <c r="BM650" s="34"/>
      <c r="BN650" s="1517">
        <f t="shared" si="32"/>
        <v>0</v>
      </c>
      <c r="BO650" s="1518"/>
      <c r="BP650" s="1518"/>
      <c r="BQ650" s="1518"/>
      <c r="BR650" s="1519"/>
      <c r="BS650" s="1526">
        <f t="shared" si="33"/>
        <v>0</v>
      </c>
      <c r="BT650" s="1526"/>
      <c r="BU650" s="1526"/>
      <c r="BV650" s="1526"/>
      <c r="BW650" s="1526"/>
      <c r="BX650" s="1526">
        <f t="shared" si="34"/>
        <v>0</v>
      </c>
      <c r="BY650" s="1526"/>
      <c r="BZ650" s="1526"/>
      <c r="CA650" s="1526"/>
      <c r="CB650" s="1526"/>
      <c r="CC650" s="1526">
        <f t="shared" si="35"/>
        <v>0</v>
      </c>
      <c r="CD650" s="1526"/>
      <c r="CE650" s="1526"/>
      <c r="CF650" s="1526"/>
      <c r="CG650" s="1526"/>
      <c r="CH650" s="1526">
        <f t="shared" si="36"/>
        <v>0</v>
      </c>
      <c r="CI650" s="1526"/>
      <c r="CJ650" s="1526"/>
      <c r="CK650" s="1526"/>
      <c r="CL650" s="1526"/>
      <c r="CM650" s="1526">
        <f t="shared" si="37"/>
        <v>0</v>
      </c>
      <c r="CN650" s="1526"/>
      <c r="CO650" s="1526"/>
      <c r="CP650" s="1526"/>
      <c r="CQ650" s="1526"/>
      <c r="CR650" s="6"/>
      <c r="CS650" s="1517">
        <f t="shared" si="38"/>
        <v>0</v>
      </c>
      <c r="CT650" s="1518"/>
      <c r="CU650" s="1518"/>
      <c r="CV650" s="1518"/>
      <c r="CW650" s="1519"/>
      <c r="CX650" s="1517">
        <f t="shared" si="39"/>
        <v>0</v>
      </c>
      <c r="CY650" s="1518"/>
      <c r="CZ650" s="1518"/>
      <c r="DA650" s="1518"/>
      <c r="DB650" s="1519"/>
      <c r="DC650" s="1517">
        <f t="shared" si="40"/>
        <v>0</v>
      </c>
      <c r="DD650" s="1518"/>
      <c r="DE650" s="1518"/>
      <c r="DF650" s="1518"/>
      <c r="DG650" s="1519"/>
      <c r="DH650" s="1517">
        <f t="shared" si="41"/>
        <v>0</v>
      </c>
      <c r="DI650" s="1518"/>
      <c r="DJ650" s="1518"/>
      <c r="DK650" s="1518"/>
      <c r="DL650" s="1519"/>
      <c r="DM650" s="1517">
        <f t="shared" si="42"/>
        <v>0</v>
      </c>
      <c r="DN650" s="1518"/>
      <c r="DO650" s="1518"/>
      <c r="DP650" s="1518"/>
      <c r="DQ650" s="1519"/>
      <c r="DR650" s="1517">
        <f t="shared" si="43"/>
        <v>0</v>
      </c>
      <c r="DS650" s="1518"/>
      <c r="DT650" s="1518"/>
      <c r="DU650" s="1518"/>
      <c r="DV650" s="1519"/>
      <c r="DX650" s="1512" t="e">
        <f t="shared" si="29"/>
        <v>#VALUE!</v>
      </c>
      <c r="DY650" s="1512"/>
      <c r="DZ650" s="1512"/>
      <c r="EA650" s="1512"/>
      <c r="EB650" s="1512"/>
      <c r="EC650" s="1512" t="e">
        <f t="shared" si="24"/>
        <v>#VALUE!</v>
      </c>
      <c r="ED650" s="1512"/>
      <c r="EE650" s="1512"/>
      <c r="EF650" s="1512"/>
      <c r="EG650" s="1512"/>
      <c r="EH650" s="1512" t="e">
        <f t="shared" si="25"/>
        <v>#VALUE!</v>
      </c>
      <c r="EI650" s="1512"/>
      <c r="EJ650" s="1512"/>
      <c r="EK650" s="1512"/>
      <c r="EL650" s="1512"/>
      <c r="EM650" s="1512" t="e">
        <f t="shared" si="26"/>
        <v>#VALUE!</v>
      </c>
      <c r="EN650" s="1512"/>
      <c r="EO650" s="1512"/>
      <c r="EP650" s="1512"/>
      <c r="EQ650" s="1512"/>
      <c r="ER650" s="1512" t="e">
        <f t="shared" si="27"/>
        <v>#VALUE!</v>
      </c>
      <c r="ES650" s="1512"/>
      <c r="ET650" s="1512"/>
      <c r="EU650" s="1512"/>
      <c r="EV650" s="1512"/>
      <c r="EW650" s="1512" t="e">
        <f t="shared" si="28"/>
        <v>#VALUE!</v>
      </c>
      <c r="EX650" s="1512"/>
      <c r="EY650" s="1512"/>
      <c r="EZ650" s="1512"/>
      <c r="FA650" s="1512"/>
    </row>
    <row r="651" spans="1:157" ht="13" customHeight="1">
      <c r="A651" s="55" t="s">
        <v>119</v>
      </c>
      <c r="B651" t="s">
        <v>471</v>
      </c>
      <c r="G651" s="1455" t="str">
        <f>C629</f>
        <v>TBD Gap Financing</v>
      </c>
      <c r="H651" s="1455"/>
      <c r="I651" s="1455"/>
      <c r="J651" s="1455"/>
      <c r="K651" s="1455"/>
      <c r="L651" s="1455"/>
      <c r="M651" s="1455"/>
      <c r="N651" s="1455"/>
      <c r="O651" s="1455"/>
      <c r="P651" s="1455"/>
      <c r="Q651" s="1455"/>
      <c r="R651" s="1455"/>
      <c r="T651" s="55" t="s">
        <v>589</v>
      </c>
      <c r="U651" t="s">
        <v>471</v>
      </c>
      <c r="Z651" s="1455" t="str">
        <f>C630</f>
        <v>Deferred Developer Fee</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517">
        <f t="shared" si="32"/>
        <v>0</v>
      </c>
      <c r="BO651" s="1518"/>
      <c r="BP651" s="1518"/>
      <c r="BQ651" s="1518"/>
      <c r="BR651" s="1519"/>
      <c r="BS651" s="1526">
        <f t="shared" si="33"/>
        <v>0</v>
      </c>
      <c r="BT651" s="1526"/>
      <c r="BU651" s="1526"/>
      <c r="BV651" s="1526"/>
      <c r="BW651" s="1526"/>
      <c r="BX651" s="1526">
        <f t="shared" si="34"/>
        <v>0</v>
      </c>
      <c r="BY651" s="1526"/>
      <c r="BZ651" s="1526"/>
      <c r="CA651" s="1526"/>
      <c r="CB651" s="1526"/>
      <c r="CC651" s="1526">
        <f t="shared" si="35"/>
        <v>0</v>
      </c>
      <c r="CD651" s="1526"/>
      <c r="CE651" s="1526"/>
      <c r="CF651" s="1526"/>
      <c r="CG651" s="1526"/>
      <c r="CH651" s="1526">
        <f t="shared" si="36"/>
        <v>0</v>
      </c>
      <c r="CI651" s="1526"/>
      <c r="CJ651" s="1526"/>
      <c r="CK651" s="1526"/>
      <c r="CL651" s="1526"/>
      <c r="CM651" s="1526">
        <f t="shared" si="37"/>
        <v>0</v>
      </c>
      <c r="CN651" s="1526"/>
      <c r="CO651" s="1526"/>
      <c r="CP651" s="1526"/>
      <c r="CQ651" s="1526"/>
      <c r="CR651" s="6"/>
      <c r="CS651" s="1517">
        <f t="shared" si="38"/>
        <v>0</v>
      </c>
      <c r="CT651" s="1518"/>
      <c r="CU651" s="1518"/>
      <c r="CV651" s="1518"/>
      <c r="CW651" s="1519"/>
      <c r="CX651" s="1517">
        <f t="shared" si="39"/>
        <v>0</v>
      </c>
      <c r="CY651" s="1518"/>
      <c r="CZ651" s="1518"/>
      <c r="DA651" s="1518"/>
      <c r="DB651" s="1519"/>
      <c r="DC651" s="1517">
        <f t="shared" si="40"/>
        <v>0</v>
      </c>
      <c r="DD651" s="1518"/>
      <c r="DE651" s="1518"/>
      <c r="DF651" s="1518"/>
      <c r="DG651" s="1519"/>
      <c r="DH651" s="1517">
        <f t="shared" si="41"/>
        <v>0</v>
      </c>
      <c r="DI651" s="1518"/>
      <c r="DJ651" s="1518"/>
      <c r="DK651" s="1518"/>
      <c r="DL651" s="1519"/>
      <c r="DM651" s="1517">
        <f t="shared" si="42"/>
        <v>0</v>
      </c>
      <c r="DN651" s="1518"/>
      <c r="DO651" s="1518"/>
      <c r="DP651" s="1518"/>
      <c r="DQ651" s="1519"/>
      <c r="DR651" s="1517">
        <f t="shared" si="43"/>
        <v>0</v>
      </c>
      <c r="DS651" s="1518"/>
      <c r="DT651" s="1518"/>
      <c r="DU651" s="1518"/>
      <c r="DV651" s="1519"/>
      <c r="DX651" s="1512" t="e">
        <f t="shared" si="29"/>
        <v>#VALUE!</v>
      </c>
      <c r="DY651" s="1512"/>
      <c r="DZ651" s="1512"/>
      <c r="EA651" s="1512"/>
      <c r="EB651" s="1512"/>
      <c r="EC651" s="1512" t="e">
        <f t="shared" si="24"/>
        <v>#VALUE!</v>
      </c>
      <c r="ED651" s="1512"/>
      <c r="EE651" s="1512"/>
      <c r="EF651" s="1512"/>
      <c r="EG651" s="1512"/>
      <c r="EH651" s="1512" t="e">
        <f t="shared" si="25"/>
        <v>#VALUE!</v>
      </c>
      <c r="EI651" s="1512"/>
      <c r="EJ651" s="1512"/>
      <c r="EK651" s="1512"/>
      <c r="EL651" s="1512"/>
      <c r="EM651" s="1512" t="e">
        <f t="shared" si="26"/>
        <v>#VALUE!</v>
      </c>
      <c r="EN651" s="1512"/>
      <c r="EO651" s="1512"/>
      <c r="EP651" s="1512"/>
      <c r="EQ651" s="1512"/>
      <c r="ER651" s="1512" t="e">
        <f t="shared" si="27"/>
        <v>#VALUE!</v>
      </c>
      <c r="ES651" s="1512"/>
      <c r="ET651" s="1512"/>
      <c r="EU651" s="1512"/>
      <c r="EV651" s="1512"/>
      <c r="EW651" s="1512" t="e">
        <f t="shared" si="28"/>
        <v>#VALUE!</v>
      </c>
      <c r="EX651" s="1512"/>
      <c r="EY651" s="1512"/>
      <c r="EZ651" s="1512"/>
      <c r="FA651" s="1512"/>
    </row>
    <row r="652" spans="1:157" ht="13" customHeight="1">
      <c r="A652" s="22"/>
      <c r="B652" t="s">
        <v>85</v>
      </c>
      <c r="G652" s="1475"/>
      <c r="H652" s="1475"/>
      <c r="I652" s="1475"/>
      <c r="J652" s="1475"/>
      <c r="K652" s="1475"/>
      <c r="L652" s="1475"/>
      <c r="M652" s="1475"/>
      <c r="N652" s="1475"/>
      <c r="O652" s="1475"/>
      <c r="P652" s="1475"/>
      <c r="Q652" s="1475"/>
      <c r="R652" s="1475"/>
      <c r="T652" s="22"/>
      <c r="U652" t="s">
        <v>85</v>
      </c>
      <c r="Z652" s="1475"/>
      <c r="AA652" s="1475"/>
      <c r="AB652" s="1475"/>
      <c r="AC652" s="1475"/>
      <c r="AD652" s="1475"/>
      <c r="AE652" s="1475"/>
      <c r="AF652" s="1475"/>
      <c r="AG652" s="1475"/>
      <c r="AH652" s="1475"/>
      <c r="AI652" s="1475"/>
      <c r="AJ652" s="1475"/>
      <c r="AK652" s="1475"/>
      <c r="AZ652" s="34"/>
      <c r="BA652" s="34"/>
      <c r="BB652" s="34"/>
      <c r="BC652" s="34"/>
      <c r="BD652" s="34"/>
      <c r="BE652" s="34"/>
      <c r="BF652" s="34"/>
      <c r="BG652" s="34"/>
      <c r="BH652" s="34"/>
      <c r="BI652" s="34"/>
      <c r="BJ652" s="34"/>
      <c r="BK652" s="34"/>
      <c r="BL652" s="34"/>
      <c r="BM652" s="34"/>
      <c r="BN652" s="1517">
        <f t="shared" si="32"/>
        <v>0</v>
      </c>
      <c r="BO652" s="1518"/>
      <c r="BP652" s="1518"/>
      <c r="BQ652" s="1518"/>
      <c r="BR652" s="1519"/>
      <c r="BS652" s="1526">
        <f t="shared" si="33"/>
        <v>0</v>
      </c>
      <c r="BT652" s="1526"/>
      <c r="BU652" s="1526"/>
      <c r="BV652" s="1526"/>
      <c r="BW652" s="1526"/>
      <c r="BX652" s="1526">
        <f t="shared" si="34"/>
        <v>0</v>
      </c>
      <c r="BY652" s="1526"/>
      <c r="BZ652" s="1526"/>
      <c r="CA652" s="1526"/>
      <c r="CB652" s="1526"/>
      <c r="CC652" s="1526">
        <f t="shared" si="35"/>
        <v>0</v>
      </c>
      <c r="CD652" s="1526"/>
      <c r="CE652" s="1526"/>
      <c r="CF652" s="1526"/>
      <c r="CG652" s="1526"/>
      <c r="CH652" s="1526">
        <f t="shared" si="36"/>
        <v>0</v>
      </c>
      <c r="CI652" s="1526"/>
      <c r="CJ652" s="1526"/>
      <c r="CK652" s="1526"/>
      <c r="CL652" s="1526"/>
      <c r="CM652" s="1526">
        <f t="shared" si="37"/>
        <v>0</v>
      </c>
      <c r="CN652" s="1526"/>
      <c r="CO652" s="1526"/>
      <c r="CP652" s="1526"/>
      <c r="CQ652" s="1526"/>
      <c r="CR652" s="6"/>
      <c r="CS652" s="1517">
        <f t="shared" si="38"/>
        <v>0</v>
      </c>
      <c r="CT652" s="1518"/>
      <c r="CU652" s="1518"/>
      <c r="CV652" s="1518"/>
      <c r="CW652" s="1519"/>
      <c r="CX652" s="1517">
        <f t="shared" si="39"/>
        <v>0</v>
      </c>
      <c r="CY652" s="1518"/>
      <c r="CZ652" s="1518"/>
      <c r="DA652" s="1518"/>
      <c r="DB652" s="1519"/>
      <c r="DC652" s="1517">
        <f t="shared" si="40"/>
        <v>0</v>
      </c>
      <c r="DD652" s="1518"/>
      <c r="DE652" s="1518"/>
      <c r="DF652" s="1518"/>
      <c r="DG652" s="1519"/>
      <c r="DH652" s="1517">
        <f t="shared" si="41"/>
        <v>0</v>
      </c>
      <c r="DI652" s="1518"/>
      <c r="DJ652" s="1518"/>
      <c r="DK652" s="1518"/>
      <c r="DL652" s="1519"/>
      <c r="DM652" s="1517">
        <f t="shared" si="42"/>
        <v>0</v>
      </c>
      <c r="DN652" s="1518"/>
      <c r="DO652" s="1518"/>
      <c r="DP652" s="1518"/>
      <c r="DQ652" s="1519"/>
      <c r="DR652" s="1517">
        <f t="shared" si="43"/>
        <v>0</v>
      </c>
      <c r="DS652" s="1518"/>
      <c r="DT652" s="1518"/>
      <c r="DU652" s="1518"/>
      <c r="DV652" s="1519"/>
      <c r="DX652" s="1512" t="e">
        <f t="shared" si="29"/>
        <v>#VALUE!</v>
      </c>
      <c r="DY652" s="1512"/>
      <c r="DZ652" s="1512"/>
      <c r="EA652" s="1512"/>
      <c r="EB652" s="1512"/>
      <c r="EC652" s="1512" t="e">
        <f t="shared" si="24"/>
        <v>#VALUE!</v>
      </c>
      <c r="ED652" s="1512"/>
      <c r="EE652" s="1512"/>
      <c r="EF652" s="1512"/>
      <c r="EG652" s="1512"/>
      <c r="EH652" s="1512" t="e">
        <f t="shared" si="25"/>
        <v>#VALUE!</v>
      </c>
      <c r="EI652" s="1512"/>
      <c r="EJ652" s="1512"/>
      <c r="EK652" s="1512"/>
      <c r="EL652" s="1512"/>
      <c r="EM652" s="1512" t="e">
        <f t="shared" si="26"/>
        <v>#VALUE!</v>
      </c>
      <c r="EN652" s="1512"/>
      <c r="EO652" s="1512"/>
      <c r="EP652" s="1512"/>
      <c r="EQ652" s="1512"/>
      <c r="ER652" s="1512" t="e">
        <f t="shared" si="27"/>
        <v>#VALUE!</v>
      </c>
      <c r="ES652" s="1512"/>
      <c r="ET652" s="1512"/>
      <c r="EU652" s="1512"/>
      <c r="EV652" s="1512"/>
      <c r="EW652" s="1512" t="e">
        <f t="shared" si="28"/>
        <v>#VALUE!</v>
      </c>
      <c r="EX652" s="1512"/>
      <c r="EY652" s="1512"/>
      <c r="EZ652" s="1512"/>
      <c r="FA652" s="1512"/>
    </row>
    <row r="653" spans="1:157" ht="13" customHeight="1">
      <c r="A653" s="22"/>
      <c r="B653" t="s">
        <v>588</v>
      </c>
      <c r="G653" s="1471"/>
      <c r="H653" s="1471"/>
      <c r="I653" s="1471"/>
      <c r="J653" s="1471"/>
      <c r="K653" s="1471"/>
      <c r="L653" s="1471"/>
      <c r="M653" s="1471"/>
      <c r="N653" s="1471"/>
      <c r="O653" s="1471"/>
      <c r="P653" s="1471"/>
      <c r="Q653" s="1471"/>
      <c r="R653" s="1471"/>
      <c r="T653" s="22"/>
      <c r="U653" t="s">
        <v>588</v>
      </c>
      <c r="Z653" s="1471"/>
      <c r="AA653" s="1471"/>
      <c r="AB653" s="1471"/>
      <c r="AC653" s="1471"/>
      <c r="AD653" s="1471"/>
      <c r="AE653" s="1471"/>
      <c r="AF653" s="1471"/>
      <c r="AG653" s="1471"/>
      <c r="AH653" s="1471"/>
      <c r="AI653" s="1471"/>
      <c r="AJ653" s="1471"/>
      <c r="AK653" s="1471"/>
      <c r="AZ653" s="34"/>
      <c r="BA653" s="34"/>
      <c r="BB653" s="34"/>
      <c r="BC653" s="34"/>
      <c r="BD653" s="34"/>
      <c r="BE653" s="34"/>
      <c r="BF653" s="34"/>
      <c r="BG653" s="34"/>
      <c r="BH653" s="34"/>
      <c r="BI653" s="34"/>
      <c r="BJ653" s="34"/>
      <c r="BK653" s="34"/>
      <c r="BL653" s="34"/>
      <c r="BM653" s="34"/>
      <c r="BN653" s="1517">
        <f t="shared" si="32"/>
        <v>0</v>
      </c>
      <c r="BO653" s="1518"/>
      <c r="BP653" s="1518"/>
      <c r="BQ653" s="1518"/>
      <c r="BR653" s="1519"/>
      <c r="BS653" s="1526">
        <f t="shared" si="33"/>
        <v>0</v>
      </c>
      <c r="BT653" s="1526"/>
      <c r="BU653" s="1526"/>
      <c r="BV653" s="1526"/>
      <c r="BW653" s="1526"/>
      <c r="BX653" s="1526">
        <f t="shared" si="34"/>
        <v>0</v>
      </c>
      <c r="BY653" s="1526"/>
      <c r="BZ653" s="1526"/>
      <c r="CA653" s="1526"/>
      <c r="CB653" s="1526"/>
      <c r="CC653" s="1526">
        <f t="shared" si="35"/>
        <v>0</v>
      </c>
      <c r="CD653" s="1526"/>
      <c r="CE653" s="1526"/>
      <c r="CF653" s="1526"/>
      <c r="CG653" s="1526"/>
      <c r="CH653" s="1526">
        <f t="shared" si="36"/>
        <v>0</v>
      </c>
      <c r="CI653" s="1526"/>
      <c r="CJ653" s="1526"/>
      <c r="CK653" s="1526"/>
      <c r="CL653" s="1526"/>
      <c r="CM653" s="1526">
        <f t="shared" si="37"/>
        <v>0</v>
      </c>
      <c r="CN653" s="1526"/>
      <c r="CO653" s="1526"/>
      <c r="CP653" s="1526"/>
      <c r="CQ653" s="1526"/>
      <c r="CR653" s="6"/>
      <c r="CS653" s="1517">
        <f t="shared" si="38"/>
        <v>0</v>
      </c>
      <c r="CT653" s="1518"/>
      <c r="CU653" s="1518"/>
      <c r="CV653" s="1518"/>
      <c r="CW653" s="1519"/>
      <c r="CX653" s="1517">
        <f t="shared" si="39"/>
        <v>0</v>
      </c>
      <c r="CY653" s="1518"/>
      <c r="CZ653" s="1518"/>
      <c r="DA653" s="1518"/>
      <c r="DB653" s="1519"/>
      <c r="DC653" s="1517">
        <f t="shared" si="40"/>
        <v>0</v>
      </c>
      <c r="DD653" s="1518"/>
      <c r="DE653" s="1518"/>
      <c r="DF653" s="1518"/>
      <c r="DG653" s="1519"/>
      <c r="DH653" s="1517">
        <f t="shared" si="41"/>
        <v>0</v>
      </c>
      <c r="DI653" s="1518"/>
      <c r="DJ653" s="1518"/>
      <c r="DK653" s="1518"/>
      <c r="DL653" s="1519"/>
      <c r="DM653" s="1517">
        <f t="shared" si="42"/>
        <v>0</v>
      </c>
      <c r="DN653" s="1518"/>
      <c r="DO653" s="1518"/>
      <c r="DP653" s="1518"/>
      <c r="DQ653" s="1519"/>
      <c r="DR653" s="1517">
        <f t="shared" si="43"/>
        <v>0</v>
      </c>
      <c r="DS653" s="1518"/>
      <c r="DT653" s="1518"/>
      <c r="DU653" s="1518"/>
      <c r="DV653" s="1519"/>
      <c r="DX653" s="1512" t="e">
        <f t="shared" si="29"/>
        <v>#VALUE!</v>
      </c>
      <c r="DY653" s="1512"/>
      <c r="DZ653" s="1512"/>
      <c r="EA653" s="1512"/>
      <c r="EB653" s="1512"/>
      <c r="EC653" s="1512" t="e">
        <f t="shared" si="24"/>
        <v>#VALUE!</v>
      </c>
      <c r="ED653" s="1512"/>
      <c r="EE653" s="1512"/>
      <c r="EF653" s="1512"/>
      <c r="EG653" s="1512"/>
      <c r="EH653" s="1512" t="e">
        <f t="shared" si="25"/>
        <v>#VALUE!</v>
      </c>
      <c r="EI653" s="1512"/>
      <c r="EJ653" s="1512"/>
      <c r="EK653" s="1512"/>
      <c r="EL653" s="1512"/>
      <c r="EM653" s="1512" t="e">
        <f t="shared" si="26"/>
        <v>#VALUE!</v>
      </c>
      <c r="EN653" s="1512"/>
      <c r="EO653" s="1512"/>
      <c r="EP653" s="1512"/>
      <c r="EQ653" s="1512"/>
      <c r="ER653" s="1512" t="e">
        <f t="shared" si="27"/>
        <v>#VALUE!</v>
      </c>
      <c r="ES653" s="1512"/>
      <c r="ET653" s="1512"/>
      <c r="EU653" s="1512"/>
      <c r="EV653" s="1512"/>
      <c r="EW653" s="1512" t="e">
        <f t="shared" si="28"/>
        <v>#VALUE!</v>
      </c>
      <c r="EX653" s="1512"/>
      <c r="EY653" s="1512"/>
      <c r="EZ653" s="1512"/>
      <c r="FA653" s="1512"/>
    </row>
    <row r="654" spans="1:157" ht="13" customHeight="1">
      <c r="A654" s="22"/>
      <c r="B654" t="s">
        <v>17</v>
      </c>
      <c r="G654" s="1471"/>
      <c r="H654" s="1471"/>
      <c r="I654" s="1471"/>
      <c r="J654" s="1471"/>
      <c r="K654" s="1471"/>
      <c r="L654" s="1471"/>
      <c r="M654" s="1471"/>
      <c r="N654" s="1471"/>
      <c r="O654" s="1471"/>
      <c r="P654" s="1471"/>
      <c r="Q654" s="1471"/>
      <c r="R654" s="1471"/>
      <c r="T654" s="22"/>
      <c r="U654" t="s">
        <v>17</v>
      </c>
      <c r="Z654" s="1471"/>
      <c r="AA654" s="1471"/>
      <c r="AB654" s="1471"/>
      <c r="AC654" s="1471"/>
      <c r="AD654" s="1471"/>
      <c r="AE654" s="1471"/>
      <c r="AF654" s="1471"/>
      <c r="AG654" s="1471"/>
      <c r="AH654" s="1471"/>
      <c r="AI654" s="1471"/>
      <c r="AJ654" s="1471"/>
      <c r="AK654" s="1471"/>
      <c r="AZ654" s="34"/>
      <c r="BA654" s="34"/>
      <c r="BB654" s="34"/>
      <c r="BC654" s="34"/>
      <c r="BD654" s="34"/>
      <c r="BE654" s="34"/>
      <c r="BF654" s="34"/>
      <c r="BG654" s="34"/>
      <c r="BH654" s="34"/>
      <c r="BI654" s="34"/>
      <c r="BJ654" s="34"/>
      <c r="BK654" s="34"/>
      <c r="BL654" s="34"/>
      <c r="BM654" s="34"/>
      <c r="BN654" s="1517">
        <f t="shared" si="32"/>
        <v>0</v>
      </c>
      <c r="BO654" s="1518"/>
      <c r="BP654" s="1518"/>
      <c r="BQ654" s="1518"/>
      <c r="BR654" s="1519"/>
      <c r="BS654" s="1526">
        <f t="shared" si="33"/>
        <v>0</v>
      </c>
      <c r="BT654" s="1526"/>
      <c r="BU654" s="1526"/>
      <c r="BV654" s="1526"/>
      <c r="BW654" s="1526"/>
      <c r="BX654" s="1526">
        <f t="shared" si="34"/>
        <v>0</v>
      </c>
      <c r="BY654" s="1526"/>
      <c r="BZ654" s="1526"/>
      <c r="CA654" s="1526"/>
      <c r="CB654" s="1526"/>
      <c r="CC654" s="1526">
        <f t="shared" si="35"/>
        <v>0</v>
      </c>
      <c r="CD654" s="1526"/>
      <c r="CE654" s="1526"/>
      <c r="CF654" s="1526"/>
      <c r="CG654" s="1526"/>
      <c r="CH654" s="1526">
        <f t="shared" si="36"/>
        <v>0</v>
      </c>
      <c r="CI654" s="1526"/>
      <c r="CJ654" s="1526"/>
      <c r="CK654" s="1526"/>
      <c r="CL654" s="1526"/>
      <c r="CM654" s="1526">
        <f t="shared" si="37"/>
        <v>0</v>
      </c>
      <c r="CN654" s="1526"/>
      <c r="CO654" s="1526"/>
      <c r="CP654" s="1526"/>
      <c r="CQ654" s="1526"/>
      <c r="CR654" s="6"/>
      <c r="CS654" s="1517">
        <f t="shared" si="38"/>
        <v>0</v>
      </c>
      <c r="CT654" s="1518"/>
      <c r="CU654" s="1518"/>
      <c r="CV654" s="1518"/>
      <c r="CW654" s="1519"/>
      <c r="CX654" s="1517">
        <f t="shared" si="39"/>
        <v>0</v>
      </c>
      <c r="CY654" s="1518"/>
      <c r="CZ654" s="1518"/>
      <c r="DA654" s="1518"/>
      <c r="DB654" s="1519"/>
      <c r="DC654" s="1517">
        <f t="shared" si="40"/>
        <v>0</v>
      </c>
      <c r="DD654" s="1518"/>
      <c r="DE654" s="1518"/>
      <c r="DF654" s="1518"/>
      <c r="DG654" s="1519"/>
      <c r="DH654" s="1517">
        <f t="shared" si="41"/>
        <v>0</v>
      </c>
      <c r="DI654" s="1518"/>
      <c r="DJ654" s="1518"/>
      <c r="DK654" s="1518"/>
      <c r="DL654" s="1519"/>
      <c r="DM654" s="1517">
        <f t="shared" si="42"/>
        <v>0</v>
      </c>
      <c r="DN654" s="1518"/>
      <c r="DO654" s="1518"/>
      <c r="DP654" s="1518"/>
      <c r="DQ654" s="1519"/>
      <c r="DR654" s="1517">
        <f t="shared" si="43"/>
        <v>0</v>
      </c>
      <c r="DS654" s="1518"/>
      <c r="DT654" s="1518"/>
      <c r="DU654" s="1518"/>
      <c r="DV654" s="1519"/>
      <c r="DX654" s="1512" t="e">
        <f t="shared" si="29"/>
        <v>#VALUE!</v>
      </c>
      <c r="DY654" s="1512"/>
      <c r="DZ654" s="1512"/>
      <c r="EA654" s="1512"/>
      <c r="EB654" s="1512"/>
      <c r="EC654" s="1512" t="e">
        <f t="shared" si="24"/>
        <v>#VALUE!</v>
      </c>
      <c r="ED654" s="1512"/>
      <c r="EE654" s="1512"/>
      <c r="EF654" s="1512"/>
      <c r="EG654" s="1512"/>
      <c r="EH654" s="1512" t="e">
        <f t="shared" si="25"/>
        <v>#VALUE!</v>
      </c>
      <c r="EI654" s="1512"/>
      <c r="EJ654" s="1512"/>
      <c r="EK654" s="1512"/>
      <c r="EL654" s="1512"/>
      <c r="EM654" s="1512" t="e">
        <f t="shared" si="26"/>
        <v>#VALUE!</v>
      </c>
      <c r="EN654" s="1512"/>
      <c r="EO654" s="1512"/>
      <c r="EP654" s="1512"/>
      <c r="EQ654" s="1512"/>
      <c r="ER654" s="1512" t="e">
        <f t="shared" si="27"/>
        <v>#VALUE!</v>
      </c>
      <c r="ES654" s="1512"/>
      <c r="ET654" s="1512"/>
      <c r="EU654" s="1512"/>
      <c r="EV654" s="1512"/>
      <c r="EW654" s="1512" t="e">
        <f t="shared" si="28"/>
        <v>#VALUE!</v>
      </c>
      <c r="EX654" s="1512"/>
      <c r="EY654" s="1512"/>
      <c r="EZ654" s="1512"/>
      <c r="FA654" s="1512"/>
    </row>
    <row r="655" spans="1:157" ht="13" customHeight="1">
      <c r="A655" s="22"/>
      <c r="B655" t="s">
        <v>316</v>
      </c>
      <c r="G655" s="1474"/>
      <c r="H655" s="1474"/>
      <c r="I655" s="1474"/>
      <c r="J655" s="1474"/>
      <c r="K655" s="1474"/>
      <c r="L655" s="1474"/>
      <c r="O655" s="33" t="s">
        <v>206</v>
      </c>
      <c r="P655" s="1476"/>
      <c r="Q655" s="1476"/>
      <c r="R655" s="1476"/>
      <c r="T655" s="22"/>
      <c r="U655" t="s">
        <v>316</v>
      </c>
      <c r="Z655" s="1474"/>
      <c r="AA655" s="1474"/>
      <c r="AB655" s="1474"/>
      <c r="AC655" s="1474"/>
      <c r="AD655" s="1474"/>
      <c r="AE655" s="1474"/>
      <c r="AH655" s="33" t="s">
        <v>206</v>
      </c>
      <c r="AI655" s="1476"/>
      <c r="AJ655" s="1476"/>
      <c r="AK655" s="1476"/>
      <c r="AZ655" s="34"/>
      <c r="BA655" s="34"/>
      <c r="BB655" s="34"/>
      <c r="BC655" s="34"/>
      <c r="BD655" s="34"/>
      <c r="BE655" s="34"/>
      <c r="BF655" s="34"/>
      <c r="BG655" s="34"/>
      <c r="BH655" s="34"/>
      <c r="BI655" s="34"/>
      <c r="BJ655" s="34"/>
      <c r="BK655" s="34"/>
      <c r="BL655" s="34"/>
      <c r="BM655" s="34"/>
      <c r="BN655" s="1531">
        <f>SUM(BN645:BR654)</f>
        <v>0</v>
      </c>
      <c r="BO655" s="1722"/>
      <c r="BP655" s="1722"/>
      <c r="BQ655" s="1722"/>
      <c r="BR655" s="1532"/>
      <c r="BS655" s="1520">
        <f>SUM(BS645:BW654)</f>
        <v>0</v>
      </c>
      <c r="BT655" s="1521"/>
      <c r="BU655" s="1521"/>
      <c r="BV655" s="1521"/>
      <c r="BW655" s="1522"/>
      <c r="BX655" s="1520">
        <f>SUM(BX645:CB654)</f>
        <v>0</v>
      </c>
      <c r="BY655" s="1521"/>
      <c r="BZ655" s="1521"/>
      <c r="CA655" s="1521"/>
      <c r="CB655" s="1522"/>
      <c r="CC655" s="1520">
        <f>SUM(CC645:CG654)</f>
        <v>0</v>
      </c>
      <c r="CD655" s="1521"/>
      <c r="CE655" s="1521"/>
      <c r="CF655" s="1521"/>
      <c r="CG655" s="1522"/>
      <c r="CH655" s="1520">
        <f>SUM(CH645:CL654)</f>
        <v>0</v>
      </c>
      <c r="CI655" s="1521"/>
      <c r="CJ655" s="1521"/>
      <c r="CK655" s="1521"/>
      <c r="CL655" s="1522"/>
      <c r="CM655" s="1520">
        <f>SUM(CM645:CQ654)</f>
        <v>0</v>
      </c>
      <c r="CN655" s="1521"/>
      <c r="CO655" s="1521"/>
      <c r="CP655" s="1521"/>
      <c r="CQ655" s="1522"/>
      <c r="CR655" s="1047"/>
      <c r="CS655" s="1527">
        <f>SUM(CS645:CW654)</f>
        <v>0</v>
      </c>
      <c r="CT655" s="1527"/>
      <c r="CU655" s="1527"/>
      <c r="CV655" s="1527"/>
      <c r="CW655" s="1527"/>
      <c r="CX655" s="1527">
        <f>SUM(CX645:DB654)</f>
        <v>0</v>
      </c>
      <c r="CY655" s="1527"/>
      <c r="CZ655" s="1527"/>
      <c r="DA655" s="1527"/>
      <c r="DB655" s="1527"/>
      <c r="DC655" s="1527">
        <f>SUM(DC645:DG654)</f>
        <v>0</v>
      </c>
      <c r="DD655" s="1527"/>
      <c r="DE655" s="1527"/>
      <c r="DF655" s="1527"/>
      <c r="DG655" s="1527"/>
      <c r="DH655" s="1527">
        <f>SUM(DH645:DL654)</f>
        <v>0</v>
      </c>
      <c r="DI655" s="1527"/>
      <c r="DJ655" s="1527"/>
      <c r="DK655" s="1527"/>
      <c r="DL655" s="1527"/>
      <c r="DM655" s="1527">
        <f>SUM(DM645:DQ654)</f>
        <v>0</v>
      </c>
      <c r="DN655" s="1527"/>
      <c r="DO655" s="1527"/>
      <c r="DP655" s="1527"/>
      <c r="DQ655" s="1527"/>
      <c r="DR655" s="1527">
        <f>SUM(DR645:DV654)</f>
        <v>0</v>
      </c>
      <c r="DS655" s="1527"/>
      <c r="DT655" s="1527"/>
      <c r="DU655" s="1527"/>
      <c r="DV655" s="1527"/>
      <c r="DX655" s="1512" t="e">
        <f t="shared" si="29"/>
        <v>#VALUE!</v>
      </c>
      <c r="DY655" s="1512"/>
      <c r="DZ655" s="1512"/>
      <c r="EA655" s="1512"/>
      <c r="EB655" s="1512"/>
      <c r="EC655" s="1512" t="e">
        <f t="shared" si="24"/>
        <v>#VALUE!</v>
      </c>
      <c r="ED655" s="1512"/>
      <c r="EE655" s="1512"/>
      <c r="EF655" s="1512"/>
      <c r="EG655" s="1512"/>
      <c r="EH655" s="1512" t="e">
        <f t="shared" si="25"/>
        <v>#VALUE!</v>
      </c>
      <c r="EI655" s="1512"/>
      <c r="EJ655" s="1512"/>
      <c r="EK655" s="1512"/>
      <c r="EL655" s="1512"/>
      <c r="EM655" s="1512" t="e">
        <f t="shared" si="26"/>
        <v>#VALUE!</v>
      </c>
      <c r="EN655" s="1512"/>
      <c r="EO655" s="1512"/>
      <c r="EP655" s="1512"/>
      <c r="EQ655" s="1512"/>
      <c r="ER655" s="1512" t="e">
        <f t="shared" si="27"/>
        <v>#VALUE!</v>
      </c>
      <c r="ES655" s="1512"/>
      <c r="ET655" s="1512"/>
      <c r="EU655" s="1512"/>
      <c r="EV655" s="1512"/>
      <c r="EW655" s="1512" t="e">
        <f t="shared" si="28"/>
        <v>#VALUE!</v>
      </c>
      <c r="EX655" s="1512"/>
      <c r="EY655" s="1512"/>
      <c r="EZ655" s="1512"/>
      <c r="FA655" s="1512"/>
    </row>
    <row r="656" spans="1:157" ht="13" customHeight="1">
      <c r="A656" s="22"/>
      <c r="B656" t="s">
        <v>18</v>
      </c>
      <c r="H656" s="1475"/>
      <c r="I656" s="1475"/>
      <c r="J656" s="1475"/>
      <c r="K656" s="1475"/>
      <c r="L656" s="1475"/>
      <c r="M656" s="1475"/>
      <c r="N656" s="1475"/>
      <c r="O656" s="1475"/>
      <c r="P656" s="1475"/>
      <c r="Q656" s="1475"/>
      <c r="R656" s="1475"/>
      <c r="T656" s="22"/>
      <c r="U656" t="s">
        <v>18</v>
      </c>
      <c r="AA656" s="1475"/>
      <c r="AB656" s="1475"/>
      <c r="AC656" s="1475"/>
      <c r="AD656" s="1475"/>
      <c r="AE656" s="1475"/>
      <c r="AF656" s="1475"/>
      <c r="AG656" s="1475"/>
      <c r="AH656" s="1475"/>
      <c r="AI656" s="1475"/>
      <c r="AJ656" s="1475"/>
      <c r="AK656" s="147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12" t="e">
        <f t="shared" si="29"/>
        <v>#VALUE!</v>
      </c>
      <c r="DY656" s="1512"/>
      <c r="DZ656" s="1512"/>
      <c r="EA656" s="1512"/>
      <c r="EB656" s="1512"/>
      <c r="EC656" s="1512" t="e">
        <f t="shared" si="24"/>
        <v>#VALUE!</v>
      </c>
      <c r="ED656" s="1512"/>
      <c r="EE656" s="1512"/>
      <c r="EF656" s="1512"/>
      <c r="EG656" s="1512"/>
      <c r="EH656" s="1512" t="e">
        <f t="shared" si="25"/>
        <v>#VALUE!</v>
      </c>
      <c r="EI656" s="1512"/>
      <c r="EJ656" s="1512"/>
      <c r="EK656" s="1512"/>
      <c r="EL656" s="1512"/>
      <c r="EM656" s="1512" t="e">
        <f t="shared" si="26"/>
        <v>#VALUE!</v>
      </c>
      <c r="EN656" s="1512"/>
      <c r="EO656" s="1512"/>
      <c r="EP656" s="1512"/>
      <c r="EQ656" s="1512"/>
      <c r="ER656" s="1512" t="e">
        <f t="shared" si="27"/>
        <v>#VALUE!</v>
      </c>
      <c r="ES656" s="1512"/>
      <c r="ET656" s="1512"/>
      <c r="EU656" s="1512"/>
      <c r="EV656" s="1512"/>
      <c r="EW656" s="1512" t="e">
        <f t="shared" si="28"/>
        <v>#VALUE!</v>
      </c>
      <c r="EX656" s="1512"/>
      <c r="EY656" s="1512"/>
      <c r="EZ656" s="1512"/>
      <c r="FA656" s="1512"/>
    </row>
    <row r="657" spans="1:157" ht="13" customHeight="1">
      <c r="A657" s="22"/>
      <c r="B657" t="s">
        <v>20</v>
      </c>
      <c r="N657" s="1467" t="s">
        <v>677</v>
      </c>
      <c r="O657" s="1467"/>
      <c r="T657" s="22"/>
      <c r="U657" t="s">
        <v>20</v>
      </c>
      <c r="AG657" s="1467" t="s">
        <v>553</v>
      </c>
      <c r="AH657" s="1467"/>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12">
        <f>SUM(CS655:DV655)</f>
        <v>0</v>
      </c>
      <c r="DS657" s="1512"/>
      <c r="DT657" s="1512"/>
      <c r="DU657" s="1512"/>
      <c r="DV657" s="1512"/>
      <c r="DX657" s="1512" t="e">
        <f t="shared" si="29"/>
        <v>#VALUE!</v>
      </c>
      <c r="DY657" s="1512"/>
      <c r="DZ657" s="1512"/>
      <c r="EA657" s="1512"/>
      <c r="EB657" s="1512"/>
      <c r="EC657" s="1512" t="e">
        <f t="shared" si="24"/>
        <v>#VALUE!</v>
      </c>
      <c r="ED657" s="1512"/>
      <c r="EE657" s="1512"/>
      <c r="EF657" s="1512"/>
      <c r="EG657" s="1512"/>
      <c r="EH657" s="1512" t="e">
        <f t="shared" si="25"/>
        <v>#VALUE!</v>
      </c>
      <c r="EI657" s="1512"/>
      <c r="EJ657" s="1512"/>
      <c r="EK657" s="1512"/>
      <c r="EL657" s="1512"/>
      <c r="EM657" s="1512" t="e">
        <f t="shared" si="26"/>
        <v>#VALUE!</v>
      </c>
      <c r="EN657" s="1512"/>
      <c r="EO657" s="1512"/>
      <c r="EP657" s="1512"/>
      <c r="EQ657" s="1512"/>
      <c r="ER657" s="1512" t="e">
        <f t="shared" si="27"/>
        <v>#VALUE!</v>
      </c>
      <c r="ES657" s="1512"/>
      <c r="ET657" s="1512"/>
      <c r="EU657" s="1512"/>
      <c r="EV657" s="1512"/>
      <c r="EW657" s="1512" t="e">
        <f t="shared" si="28"/>
        <v>#VALUE!</v>
      </c>
      <c r="EX657" s="1512"/>
      <c r="EY657" s="1512"/>
      <c r="EZ657" s="1512"/>
      <c r="FA657" s="151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12" t="e">
        <f t="shared" ref="DX658:DX667" si="44">DX620*(BN620/$BN$632)</f>
        <v>#VALUE!</v>
      </c>
      <c r="DY658" s="1512"/>
      <c r="DZ658" s="1512"/>
      <c r="EA658" s="1512"/>
      <c r="EB658" s="1512"/>
      <c r="EC658" s="1512" t="e">
        <f t="shared" ref="EC658:EC667" si="45">EC620*(BS620/$BS$632)</f>
        <v>#VALUE!</v>
      </c>
      <c r="ED658" s="1512"/>
      <c r="EE658" s="1512"/>
      <c r="EF658" s="1512"/>
      <c r="EG658" s="1512"/>
      <c r="EH658" s="1512" t="e">
        <f t="shared" ref="EH658:EH667" si="46">EH620*(BX620/$BX$632)</f>
        <v>#VALUE!</v>
      </c>
      <c r="EI658" s="1512"/>
      <c r="EJ658" s="1512"/>
      <c r="EK658" s="1512"/>
      <c r="EL658" s="1512"/>
      <c r="EM658" s="1512" t="e">
        <f t="shared" ref="EM658:EM667" si="47">EM620*(CC620/$CC$632)</f>
        <v>#VALUE!</v>
      </c>
      <c r="EN658" s="1512"/>
      <c r="EO658" s="1512"/>
      <c r="EP658" s="1512"/>
      <c r="EQ658" s="1512"/>
      <c r="ER658" s="1512" t="e">
        <f t="shared" ref="ER658:ER667" si="48">ER620*(CH620/$CH$632)</f>
        <v>#VALUE!</v>
      </c>
      <c r="ES658" s="1512"/>
      <c r="ET658" s="1512"/>
      <c r="EU658" s="1512"/>
      <c r="EV658" s="1512"/>
      <c r="EW658" s="1512" t="e">
        <f t="shared" ref="EW658:EW667" si="49">EW620*(CM620/$CM$632)</f>
        <v>#VALUE!</v>
      </c>
      <c r="EX658" s="1512"/>
      <c r="EY658" s="1512"/>
      <c r="EZ658" s="1512"/>
      <c r="FA658" s="1512"/>
    </row>
    <row r="659" spans="1:157" ht="13" customHeight="1">
      <c r="A659" s="55" t="s">
        <v>772</v>
      </c>
      <c r="B659" t="s">
        <v>471</v>
      </c>
      <c r="G659" s="1455">
        <f>C631</f>
        <v>0</v>
      </c>
      <c r="H659" s="1455"/>
      <c r="I659" s="1455"/>
      <c r="J659" s="1455"/>
      <c r="K659" s="1455"/>
      <c r="L659" s="1455"/>
      <c r="M659" s="1455"/>
      <c r="N659" s="1455"/>
      <c r="O659" s="1455"/>
      <c r="P659" s="1455"/>
      <c r="Q659" s="1455"/>
      <c r="R659" s="1455"/>
      <c r="T659" s="55" t="s">
        <v>592</v>
      </c>
      <c r="U659" t="s">
        <v>471</v>
      </c>
      <c r="Z659" s="1455">
        <f>C632</f>
        <v>0</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12" t="e">
        <f t="shared" si="44"/>
        <v>#VALUE!</v>
      </c>
      <c r="DY659" s="1512"/>
      <c r="DZ659" s="1512"/>
      <c r="EA659" s="1512"/>
      <c r="EB659" s="1512"/>
      <c r="EC659" s="1512" t="e">
        <f t="shared" si="45"/>
        <v>#VALUE!</v>
      </c>
      <c r="ED659" s="1512"/>
      <c r="EE659" s="1512"/>
      <c r="EF659" s="1512"/>
      <c r="EG659" s="1512"/>
      <c r="EH659" s="1512" t="e">
        <f t="shared" si="46"/>
        <v>#VALUE!</v>
      </c>
      <c r="EI659" s="1512"/>
      <c r="EJ659" s="1512"/>
      <c r="EK659" s="1512"/>
      <c r="EL659" s="1512"/>
      <c r="EM659" s="1512" t="e">
        <f t="shared" si="47"/>
        <v>#VALUE!</v>
      </c>
      <c r="EN659" s="1512"/>
      <c r="EO659" s="1512"/>
      <c r="EP659" s="1512"/>
      <c r="EQ659" s="1512"/>
      <c r="ER659" s="1512" t="e">
        <f t="shared" si="48"/>
        <v>#VALUE!</v>
      </c>
      <c r="ES659" s="1512"/>
      <c r="ET659" s="1512"/>
      <c r="EU659" s="1512"/>
      <c r="EV659" s="1512"/>
      <c r="EW659" s="1512" t="e">
        <f t="shared" si="49"/>
        <v>#VALUE!</v>
      </c>
      <c r="EX659" s="1512"/>
      <c r="EY659" s="1512"/>
      <c r="EZ659" s="1512"/>
      <c r="FA659" s="1512"/>
    </row>
    <row r="660" spans="1:157" ht="13" customHeight="1">
      <c r="A660" s="22"/>
      <c r="B660" t="s">
        <v>85</v>
      </c>
      <c r="G660" s="1475"/>
      <c r="H660" s="1475"/>
      <c r="I660" s="1475"/>
      <c r="J660" s="1475"/>
      <c r="K660" s="1475"/>
      <c r="L660" s="1475"/>
      <c r="M660" s="1475"/>
      <c r="N660" s="1475"/>
      <c r="O660" s="1475"/>
      <c r="P660" s="1475"/>
      <c r="Q660" s="1475"/>
      <c r="R660" s="1475"/>
      <c r="T660" s="22"/>
      <c r="U660" t="s">
        <v>85</v>
      </c>
      <c r="Z660" s="1475"/>
      <c r="AA660" s="1475"/>
      <c r="AB660" s="1475"/>
      <c r="AC660" s="1475"/>
      <c r="AD660" s="1475"/>
      <c r="AE660" s="1475"/>
      <c r="AF660" s="1475"/>
      <c r="AG660" s="1475"/>
      <c r="AH660" s="1475"/>
      <c r="AI660" s="1475"/>
      <c r="AJ660" s="1475"/>
      <c r="AK660" s="1475"/>
      <c r="AZ660" s="34"/>
      <c r="BA660" s="34"/>
      <c r="BB660" s="34"/>
      <c r="BC660" s="34"/>
      <c r="BD660" s="34"/>
      <c r="BE660" s="34"/>
      <c r="BF660" s="34"/>
      <c r="BG660" s="34"/>
      <c r="BH660" s="34"/>
      <c r="BI660" s="34"/>
      <c r="BJ660" s="34"/>
      <c r="BK660" s="34"/>
      <c r="BL660" s="34"/>
      <c r="BM660" s="34"/>
      <c r="BN660" s="1520">
        <f>BN632+BN641+BN655</f>
        <v>0</v>
      </c>
      <c r="BO660" s="1521"/>
      <c r="BP660" s="1521"/>
      <c r="BQ660" s="1521"/>
      <c r="BR660" s="1522"/>
      <c r="BS660" s="1520">
        <f>BS632+BS641+BS655</f>
        <v>39</v>
      </c>
      <c r="BT660" s="1521"/>
      <c r="BU660" s="1521"/>
      <c r="BV660" s="1521"/>
      <c r="BW660" s="1522"/>
      <c r="BX660" s="1520">
        <f>BX632+BX641+BX655</f>
        <v>22</v>
      </c>
      <c r="BY660" s="1521"/>
      <c r="BZ660" s="1521"/>
      <c r="CA660" s="1521"/>
      <c r="CB660" s="1522"/>
      <c r="CC660" s="1520">
        <f>CC632+CC641+CC655</f>
        <v>21</v>
      </c>
      <c r="CD660" s="1521"/>
      <c r="CE660" s="1521"/>
      <c r="CF660" s="1521"/>
      <c r="CG660" s="1522"/>
      <c r="CH660" s="1520">
        <f>CH632+CH641+CH655</f>
        <v>0</v>
      </c>
      <c r="CI660" s="1521"/>
      <c r="CJ660" s="1521"/>
      <c r="CK660" s="1521"/>
      <c r="CL660" s="1522"/>
      <c r="CM660" s="1523">
        <f>CM655+CM641+CM632</f>
        <v>0</v>
      </c>
      <c r="CN660" s="1524"/>
      <c r="CO660" s="1524"/>
      <c r="CP660" s="1524"/>
      <c r="CQ660" s="1525"/>
      <c r="CR660" s="3"/>
      <c r="CS660" s="895">
        <f>CS634+CS658</f>
        <v>144</v>
      </c>
      <c r="CT660" s="57" t="s">
        <v>2055</v>
      </c>
      <c r="CU660" s="3"/>
      <c r="CV660" s="3"/>
      <c r="CW660" s="3"/>
      <c r="CX660" s="3"/>
      <c r="CY660" s="3"/>
      <c r="CZ660" s="3"/>
      <c r="DA660" s="3"/>
      <c r="DB660" s="3"/>
      <c r="DC660" s="3"/>
      <c r="DD660" s="3"/>
      <c r="DE660" s="3"/>
      <c r="DF660" s="3"/>
      <c r="DX660" s="1512" t="e">
        <f t="shared" si="44"/>
        <v>#VALUE!</v>
      </c>
      <c r="DY660" s="1512"/>
      <c r="DZ660" s="1512"/>
      <c r="EA660" s="1512"/>
      <c r="EB660" s="1512"/>
      <c r="EC660" s="1512" t="e">
        <f t="shared" si="45"/>
        <v>#VALUE!</v>
      </c>
      <c r="ED660" s="1512"/>
      <c r="EE660" s="1512"/>
      <c r="EF660" s="1512"/>
      <c r="EG660" s="1512"/>
      <c r="EH660" s="1512" t="e">
        <f t="shared" si="46"/>
        <v>#VALUE!</v>
      </c>
      <c r="EI660" s="1512"/>
      <c r="EJ660" s="1512"/>
      <c r="EK660" s="1512"/>
      <c r="EL660" s="1512"/>
      <c r="EM660" s="1512" t="e">
        <f t="shared" si="47"/>
        <v>#VALUE!</v>
      </c>
      <c r="EN660" s="1512"/>
      <c r="EO660" s="1512"/>
      <c r="EP660" s="1512"/>
      <c r="EQ660" s="1512"/>
      <c r="ER660" s="1512" t="e">
        <f t="shared" si="48"/>
        <v>#VALUE!</v>
      </c>
      <c r="ES660" s="1512"/>
      <c r="ET660" s="1512"/>
      <c r="EU660" s="1512"/>
      <c r="EV660" s="1512"/>
      <c r="EW660" s="1512" t="e">
        <f t="shared" si="49"/>
        <v>#VALUE!</v>
      </c>
      <c r="EX660" s="1512"/>
      <c r="EY660" s="1512"/>
      <c r="EZ660" s="1512"/>
      <c r="FA660" s="1512"/>
    </row>
    <row r="661" spans="1:157" ht="13" customHeight="1">
      <c r="A661" s="22"/>
      <c r="B661" t="s">
        <v>588</v>
      </c>
      <c r="G661" s="1475"/>
      <c r="H661" s="1475"/>
      <c r="I661" s="1475"/>
      <c r="J661" s="1475"/>
      <c r="K661" s="1475"/>
      <c r="L661" s="1475"/>
      <c r="M661" s="1475"/>
      <c r="N661" s="1475"/>
      <c r="O661" s="1475"/>
      <c r="P661" s="1475"/>
      <c r="Q661" s="1475"/>
      <c r="R661" s="1475"/>
      <c r="T661" s="22"/>
      <c r="U661" t="s">
        <v>588</v>
      </c>
      <c r="Z661" s="1471"/>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12" t="e">
        <f t="shared" si="44"/>
        <v>#VALUE!</v>
      </c>
      <c r="DY661" s="1512"/>
      <c r="DZ661" s="1512"/>
      <c r="EA661" s="1512"/>
      <c r="EB661" s="1512"/>
      <c r="EC661" s="1512" t="e">
        <f t="shared" si="45"/>
        <v>#VALUE!</v>
      </c>
      <c r="ED661" s="1512"/>
      <c r="EE661" s="1512"/>
      <c r="EF661" s="1512"/>
      <c r="EG661" s="1512"/>
      <c r="EH661" s="1512" t="e">
        <f t="shared" si="46"/>
        <v>#VALUE!</v>
      </c>
      <c r="EI661" s="1512"/>
      <c r="EJ661" s="1512"/>
      <c r="EK661" s="1512"/>
      <c r="EL661" s="1512"/>
      <c r="EM661" s="1512" t="e">
        <f t="shared" si="47"/>
        <v>#VALUE!</v>
      </c>
      <c r="EN661" s="1512"/>
      <c r="EO661" s="1512"/>
      <c r="EP661" s="1512"/>
      <c r="EQ661" s="1512"/>
      <c r="ER661" s="1512" t="e">
        <f t="shared" si="48"/>
        <v>#VALUE!</v>
      </c>
      <c r="ES661" s="1512"/>
      <c r="ET661" s="1512"/>
      <c r="EU661" s="1512"/>
      <c r="EV661" s="1512"/>
      <c r="EW661" s="1512" t="e">
        <f t="shared" si="49"/>
        <v>#VALUE!</v>
      </c>
      <c r="EX661" s="1512"/>
      <c r="EY661" s="1512"/>
      <c r="EZ661" s="1512"/>
      <c r="FA661" s="1512"/>
    </row>
    <row r="662" spans="1:157" ht="13" customHeight="1">
      <c r="A662" s="22"/>
      <c r="B662" t="s">
        <v>17</v>
      </c>
      <c r="G662" s="1475"/>
      <c r="H662" s="1475"/>
      <c r="I662" s="1475"/>
      <c r="J662" s="1475"/>
      <c r="K662" s="1475"/>
      <c r="L662" s="1475"/>
      <c r="M662" s="1475"/>
      <c r="N662" s="1475"/>
      <c r="O662" s="1475"/>
      <c r="P662" s="1475"/>
      <c r="Q662" s="1475"/>
      <c r="R662" s="1475"/>
      <c r="T662" s="22"/>
      <c r="U662" t="s">
        <v>17</v>
      </c>
      <c r="Z662" s="1471"/>
      <c r="AA662" s="1471"/>
      <c r="AB662" s="1471"/>
      <c r="AC662" s="1471"/>
      <c r="AD662" s="1471"/>
      <c r="AE662" s="1471"/>
      <c r="AF662" s="1471"/>
      <c r="AG662" s="1471"/>
      <c r="AH662" s="1471"/>
      <c r="AI662" s="1471"/>
      <c r="AJ662" s="1471"/>
      <c r="AK662" s="14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12" t="e">
        <f t="shared" si="44"/>
        <v>#VALUE!</v>
      </c>
      <c r="DY662" s="1512"/>
      <c r="DZ662" s="1512"/>
      <c r="EA662" s="1512"/>
      <c r="EB662" s="1512"/>
      <c r="EC662" s="1512" t="e">
        <f t="shared" si="45"/>
        <v>#VALUE!</v>
      </c>
      <c r="ED662" s="1512"/>
      <c r="EE662" s="1512"/>
      <c r="EF662" s="1512"/>
      <c r="EG662" s="1512"/>
      <c r="EH662" s="1512" t="e">
        <f t="shared" si="46"/>
        <v>#VALUE!</v>
      </c>
      <c r="EI662" s="1512"/>
      <c r="EJ662" s="1512"/>
      <c r="EK662" s="1512"/>
      <c r="EL662" s="1512"/>
      <c r="EM662" s="1512" t="e">
        <f t="shared" si="47"/>
        <v>#VALUE!</v>
      </c>
      <c r="EN662" s="1512"/>
      <c r="EO662" s="1512"/>
      <c r="EP662" s="1512"/>
      <c r="EQ662" s="1512"/>
      <c r="ER662" s="1512" t="e">
        <f t="shared" si="48"/>
        <v>#VALUE!</v>
      </c>
      <c r="ES662" s="1512"/>
      <c r="ET662" s="1512"/>
      <c r="EU662" s="1512"/>
      <c r="EV662" s="1512"/>
      <c r="EW662" s="1512" t="e">
        <f t="shared" si="49"/>
        <v>#VALUE!</v>
      </c>
      <c r="EX662" s="1512"/>
      <c r="EY662" s="1512"/>
      <c r="EZ662" s="1512"/>
      <c r="FA662" s="1512"/>
    </row>
    <row r="663" spans="1:157" ht="13" customHeight="1">
      <c r="A663" s="22"/>
      <c r="B663" t="s">
        <v>316</v>
      </c>
      <c r="G663" s="1474"/>
      <c r="H663" s="1474"/>
      <c r="I663" s="1474"/>
      <c r="J663" s="1474"/>
      <c r="K663" s="1474"/>
      <c r="L663" s="1474"/>
      <c r="O663" s="33" t="s">
        <v>206</v>
      </c>
      <c r="P663" s="1476"/>
      <c r="Q663" s="1476"/>
      <c r="R663" s="1476"/>
      <c r="T663" s="22"/>
      <c r="U663" t="s">
        <v>316</v>
      </c>
      <c r="Z663" s="1474"/>
      <c r="AA663" s="1474"/>
      <c r="AB663" s="1474"/>
      <c r="AC663" s="1474"/>
      <c r="AD663" s="1474"/>
      <c r="AE663" s="1474"/>
      <c r="AH663" s="33" t="s">
        <v>206</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12" t="e">
        <f t="shared" si="44"/>
        <v>#VALUE!</v>
      </c>
      <c r="DY663" s="1512"/>
      <c r="DZ663" s="1512"/>
      <c r="EA663" s="1512"/>
      <c r="EB663" s="1512"/>
      <c r="EC663" s="1512" t="e">
        <f t="shared" si="45"/>
        <v>#VALUE!</v>
      </c>
      <c r="ED663" s="1512"/>
      <c r="EE663" s="1512"/>
      <c r="EF663" s="1512"/>
      <c r="EG663" s="1512"/>
      <c r="EH663" s="1512" t="e">
        <f t="shared" si="46"/>
        <v>#VALUE!</v>
      </c>
      <c r="EI663" s="1512"/>
      <c r="EJ663" s="1512"/>
      <c r="EK663" s="1512"/>
      <c r="EL663" s="1512"/>
      <c r="EM663" s="1512" t="e">
        <f t="shared" si="47"/>
        <v>#VALUE!</v>
      </c>
      <c r="EN663" s="1512"/>
      <c r="EO663" s="1512"/>
      <c r="EP663" s="1512"/>
      <c r="EQ663" s="1512"/>
      <c r="ER663" s="1512" t="e">
        <f t="shared" si="48"/>
        <v>#VALUE!</v>
      </c>
      <c r="ES663" s="1512"/>
      <c r="ET663" s="1512"/>
      <c r="EU663" s="1512"/>
      <c r="EV663" s="1512"/>
      <c r="EW663" s="1512" t="e">
        <f t="shared" si="49"/>
        <v>#VALUE!</v>
      </c>
      <c r="EX663" s="1512"/>
      <c r="EY663" s="1512"/>
      <c r="EZ663" s="1512"/>
      <c r="FA663" s="1512"/>
    </row>
    <row r="664" spans="1:157" ht="13" customHeight="1">
      <c r="A664" s="22"/>
      <c r="B664" t="s">
        <v>18</v>
      </c>
      <c r="H664" s="1475"/>
      <c r="I664" s="1475"/>
      <c r="J664" s="1475"/>
      <c r="K664" s="1475"/>
      <c r="L664" s="1475"/>
      <c r="M664" s="1475"/>
      <c r="N664" s="1475"/>
      <c r="O664" s="1475"/>
      <c r="P664" s="1475"/>
      <c r="Q664" s="1475"/>
      <c r="R664" s="1475"/>
      <c r="T664" s="22"/>
      <c r="U664" t="s">
        <v>18</v>
      </c>
      <c r="AA664" s="1475"/>
      <c r="AB664" s="1475"/>
      <c r="AC664" s="1475"/>
      <c r="AD664" s="1475"/>
      <c r="AE664" s="1475"/>
      <c r="AF664" s="1475"/>
      <c r="AG664" s="1475"/>
      <c r="AH664" s="1475"/>
      <c r="AI664" s="1475"/>
      <c r="AJ664" s="1475"/>
      <c r="AK664" s="147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12" t="e">
        <f t="shared" si="44"/>
        <v>#VALUE!</v>
      </c>
      <c r="DY664" s="1512"/>
      <c r="DZ664" s="1512"/>
      <c r="EA664" s="1512"/>
      <c r="EB664" s="1512"/>
      <c r="EC664" s="1512" t="e">
        <f t="shared" si="45"/>
        <v>#VALUE!</v>
      </c>
      <c r="ED664" s="1512"/>
      <c r="EE664" s="1512"/>
      <c r="EF664" s="1512"/>
      <c r="EG664" s="1512"/>
      <c r="EH664" s="1512" t="e">
        <f t="shared" si="46"/>
        <v>#VALUE!</v>
      </c>
      <c r="EI664" s="1512"/>
      <c r="EJ664" s="1512"/>
      <c r="EK664" s="1512"/>
      <c r="EL664" s="1512"/>
      <c r="EM664" s="1512" t="e">
        <f t="shared" si="47"/>
        <v>#VALUE!</v>
      </c>
      <c r="EN664" s="1512"/>
      <c r="EO664" s="1512"/>
      <c r="EP664" s="1512"/>
      <c r="EQ664" s="1512"/>
      <c r="ER664" s="1512" t="e">
        <f t="shared" si="48"/>
        <v>#VALUE!</v>
      </c>
      <c r="ES664" s="1512"/>
      <c r="ET664" s="1512"/>
      <c r="EU664" s="1512"/>
      <c r="EV664" s="1512"/>
      <c r="EW664" s="1512" t="e">
        <f t="shared" si="49"/>
        <v>#VALUE!</v>
      </c>
      <c r="EX664" s="1512"/>
      <c r="EY664" s="1512"/>
      <c r="EZ664" s="1512"/>
      <c r="FA664" s="1512"/>
    </row>
    <row r="665" spans="1:157" ht="13" customHeight="1">
      <c r="A665" s="22"/>
      <c r="B665" t="s">
        <v>20</v>
      </c>
      <c r="N665" s="1467" t="s">
        <v>677</v>
      </c>
      <c r="O665" s="1467"/>
      <c r="T665" s="22"/>
      <c r="U665" t="s">
        <v>20</v>
      </c>
      <c r="AG665" s="1467" t="s">
        <v>677</v>
      </c>
      <c r="AH665" s="146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12" t="e">
        <f t="shared" si="44"/>
        <v>#VALUE!</v>
      </c>
      <c r="DY665" s="1512"/>
      <c r="DZ665" s="1512"/>
      <c r="EA665" s="1512"/>
      <c r="EB665" s="1512"/>
      <c r="EC665" s="1512" t="e">
        <f t="shared" si="45"/>
        <v>#VALUE!</v>
      </c>
      <c r="ED665" s="1512"/>
      <c r="EE665" s="1512"/>
      <c r="EF665" s="1512"/>
      <c r="EG665" s="1512"/>
      <c r="EH665" s="1512" t="e">
        <f t="shared" si="46"/>
        <v>#VALUE!</v>
      </c>
      <c r="EI665" s="1512"/>
      <c r="EJ665" s="1512"/>
      <c r="EK665" s="1512"/>
      <c r="EL665" s="1512"/>
      <c r="EM665" s="1512" t="e">
        <f t="shared" si="47"/>
        <v>#VALUE!</v>
      </c>
      <c r="EN665" s="1512"/>
      <c r="EO665" s="1512"/>
      <c r="EP665" s="1512"/>
      <c r="EQ665" s="1512"/>
      <c r="ER665" s="1512" t="e">
        <f t="shared" si="48"/>
        <v>#VALUE!</v>
      </c>
      <c r="ES665" s="1512"/>
      <c r="ET665" s="1512"/>
      <c r="EU665" s="1512"/>
      <c r="EV665" s="1512"/>
      <c r="EW665" s="1512" t="e">
        <f t="shared" si="49"/>
        <v>#VALUE!</v>
      </c>
      <c r="EX665" s="1512"/>
      <c r="EY665" s="1512"/>
      <c r="EZ665" s="1512"/>
      <c r="FA665" s="1512"/>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12" t="e">
        <f t="shared" si="44"/>
        <v>#VALUE!</v>
      </c>
      <c r="DY666" s="1512"/>
      <c r="DZ666" s="1512"/>
      <c r="EA666" s="1512"/>
      <c r="EB666" s="1512"/>
      <c r="EC666" s="1512" t="e">
        <f t="shared" si="45"/>
        <v>#VALUE!</v>
      </c>
      <c r="ED666" s="1512"/>
      <c r="EE666" s="1512"/>
      <c r="EF666" s="1512"/>
      <c r="EG666" s="1512"/>
      <c r="EH666" s="1512" t="e">
        <f t="shared" si="46"/>
        <v>#VALUE!</v>
      </c>
      <c r="EI666" s="1512"/>
      <c r="EJ666" s="1512"/>
      <c r="EK666" s="1512"/>
      <c r="EL666" s="1512"/>
      <c r="EM666" s="1512" t="e">
        <f t="shared" si="47"/>
        <v>#VALUE!</v>
      </c>
      <c r="EN666" s="1512"/>
      <c r="EO666" s="1512"/>
      <c r="EP666" s="1512"/>
      <c r="EQ666" s="1512"/>
      <c r="ER666" s="1512" t="e">
        <f t="shared" si="48"/>
        <v>#VALUE!</v>
      </c>
      <c r="ES666" s="1512"/>
      <c r="ET666" s="1512"/>
      <c r="EU666" s="1512"/>
      <c r="EV666" s="1512"/>
      <c r="EW666" s="1512" t="e">
        <f t="shared" si="49"/>
        <v>#VALUE!</v>
      </c>
      <c r="EX666" s="1512"/>
      <c r="EY666" s="1512"/>
      <c r="EZ666" s="1512"/>
      <c r="FA666" s="1512"/>
    </row>
    <row r="667" spans="1:157" ht="13" customHeight="1">
      <c r="A667" s="55" t="s">
        <v>463</v>
      </c>
      <c r="B667" t="s">
        <v>471</v>
      </c>
      <c r="G667" s="1455">
        <f>C633</f>
        <v>0</v>
      </c>
      <c r="H667" s="1455"/>
      <c r="I667" s="1455"/>
      <c r="J667" s="1455"/>
      <c r="K667" s="1455"/>
      <c r="L667" s="1455"/>
      <c r="M667" s="1455"/>
      <c r="N667" s="1455"/>
      <c r="O667" s="1455"/>
      <c r="P667" s="1455"/>
      <c r="Q667" s="1455"/>
      <c r="R667" s="1455"/>
      <c r="T667" s="55" t="s">
        <v>464</v>
      </c>
      <c r="U667" t="s">
        <v>471</v>
      </c>
      <c r="Z667" s="1455">
        <f>C634</f>
        <v>0</v>
      </c>
      <c r="AA667" s="1455"/>
      <c r="AB667" s="1455"/>
      <c r="AC667" s="1455"/>
      <c r="AD667" s="1455"/>
      <c r="AE667" s="1455"/>
      <c r="AF667" s="1455"/>
      <c r="AG667" s="1455"/>
      <c r="AH667" s="1455"/>
      <c r="AI667" s="1455"/>
      <c r="AJ667" s="1455"/>
      <c r="AK667" s="1455"/>
      <c r="AZ667" s="3"/>
      <c r="BA667" s="118">
        <f t="shared" ref="BA667:BA699" si="50">IF($G718=0,"N/A",VLOOKUP($T$189,TC_Rent,(MATCH($B718,bedrooms,FALSE))))</f>
        <v>2364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12" t="e">
        <f t="shared" si="44"/>
        <v>#VALUE!</v>
      </c>
      <c r="DY667" s="1512"/>
      <c r="DZ667" s="1512"/>
      <c r="EA667" s="1512"/>
      <c r="EB667" s="1512"/>
      <c r="EC667" s="1512" t="e">
        <f t="shared" si="45"/>
        <v>#VALUE!</v>
      </c>
      <c r="ED667" s="1512"/>
      <c r="EE667" s="1512"/>
      <c r="EF667" s="1512"/>
      <c r="EG667" s="1512"/>
      <c r="EH667" s="1512" t="e">
        <f t="shared" si="46"/>
        <v>#VALUE!</v>
      </c>
      <c r="EI667" s="1512"/>
      <c r="EJ667" s="1512"/>
      <c r="EK667" s="1512"/>
      <c r="EL667" s="1512"/>
      <c r="EM667" s="1512" t="e">
        <f t="shared" si="47"/>
        <v>#VALUE!</v>
      </c>
      <c r="EN667" s="1512"/>
      <c r="EO667" s="1512"/>
      <c r="EP667" s="1512"/>
      <c r="EQ667" s="1512"/>
      <c r="ER667" s="1512" t="e">
        <f t="shared" si="48"/>
        <v>#VALUE!</v>
      </c>
      <c r="ES667" s="1512"/>
      <c r="ET667" s="1512"/>
      <c r="EU667" s="1512"/>
      <c r="EV667" s="1512"/>
      <c r="EW667" s="1512" t="e">
        <f t="shared" si="49"/>
        <v>#VALUE!</v>
      </c>
      <c r="EX667" s="1512"/>
      <c r="EY667" s="1512"/>
      <c r="EZ667" s="1512"/>
      <c r="FA667" s="1512"/>
    </row>
    <row r="668" spans="1:157" ht="13" customHeight="1">
      <c r="A668" s="22"/>
      <c r="B668" t="s">
        <v>85</v>
      </c>
      <c r="G668" s="1475"/>
      <c r="H668" s="1475"/>
      <c r="I668" s="1475"/>
      <c r="J668" s="1475"/>
      <c r="K668" s="1475"/>
      <c r="L668" s="1475"/>
      <c r="M668" s="1475"/>
      <c r="N668" s="1475"/>
      <c r="O668" s="1475"/>
      <c r="P668" s="1475"/>
      <c r="Q668" s="1475"/>
      <c r="R668" s="1475"/>
      <c r="T668" s="22"/>
      <c r="U668" t="s">
        <v>85</v>
      </c>
      <c r="Z668" s="1475"/>
      <c r="AA668" s="1475"/>
      <c r="AB668" s="1475"/>
      <c r="AC668" s="1475"/>
      <c r="AD668" s="1475"/>
      <c r="AE668" s="1475"/>
      <c r="AF668" s="1475"/>
      <c r="AG668" s="1475"/>
      <c r="AH668" s="1475"/>
      <c r="AI668" s="1475"/>
      <c r="AJ668" s="1475"/>
      <c r="AK668" s="1475"/>
      <c r="AZ668" s="3"/>
      <c r="BA668" s="118">
        <f t="shared" si="50"/>
        <v>2836</v>
      </c>
      <c r="BB668" s="3"/>
      <c r="BC668" s="3"/>
      <c r="BD668" s="3"/>
      <c r="BE668" s="3"/>
      <c r="BF668" s="218"/>
      <c r="BG668" s="315">
        <f t="shared" ref="BG668:BG700" si="51">G718</f>
        <v>5</v>
      </c>
      <c r="BH668" s="319">
        <f t="shared" ref="BH668:BH702" si="52">IF($BG$703=0,0,BG668/$BG$703)</f>
        <v>6.1728395061728392E-2</v>
      </c>
      <c r="BI668" s="320">
        <f t="shared" ref="BI668:BI691" si="53">IF(BH668=0,"",BH668*AC718)</f>
        <v>1.8518518518518517E-2</v>
      </c>
      <c r="BJ668" s="3"/>
      <c r="BK668" s="3"/>
      <c r="BL668" s="3"/>
      <c r="BM668" s="3"/>
      <c r="BN668" s="3"/>
      <c r="BO668" s="3"/>
      <c r="BT668" s="315">
        <f t="shared" ref="BT668:BT700" si="54">G718</f>
        <v>5</v>
      </c>
      <c r="BU668" s="319">
        <f t="shared" ref="BU668:BU702" si="55">IF($BT$703=0,0,BT668/$BT$703)</f>
        <v>6.1728395061728392E-2</v>
      </c>
      <c r="BV668" s="320">
        <f t="shared" ref="BV668:BV700" si="56">IF(BU668=0,"",BU668*AH718)</f>
        <v>1.8513296150069979E-2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12" t="e">
        <f>DX630*(BN630/$BN$632)</f>
        <v>#VALUE!</v>
      </c>
      <c r="DY668" s="1512"/>
      <c r="DZ668" s="1512"/>
      <c r="EA668" s="1512"/>
      <c r="EB668" s="1512"/>
      <c r="EC668" s="1512" t="e">
        <f>EC630*(BS630/$BS$632)</f>
        <v>#VALUE!</v>
      </c>
      <c r="ED668" s="1512"/>
      <c r="EE668" s="1512"/>
      <c r="EF668" s="1512"/>
      <c r="EG668" s="1512"/>
      <c r="EH668" s="1512" t="e">
        <f>EH630*(BX630/$BX$632)</f>
        <v>#VALUE!</v>
      </c>
      <c r="EI668" s="1512"/>
      <c r="EJ668" s="1512"/>
      <c r="EK668" s="1512"/>
      <c r="EL668" s="1512"/>
      <c r="EM668" s="1512" t="e">
        <f>EM630*(CC630/$CC$632)</f>
        <v>#VALUE!</v>
      </c>
      <c r="EN668" s="1512"/>
      <c r="EO668" s="1512"/>
      <c r="EP668" s="1512"/>
      <c r="EQ668" s="1512"/>
      <c r="ER668" s="1512" t="e">
        <f>ER630*(CH630/$CH$632)</f>
        <v>#VALUE!</v>
      </c>
      <c r="ES668" s="1512"/>
      <c r="ET668" s="1512"/>
      <c r="EU668" s="1512"/>
      <c r="EV668" s="1512"/>
      <c r="EW668" s="1512" t="e">
        <f>EW630*(CM630/$CM$632)</f>
        <v>#VALUE!</v>
      </c>
      <c r="EX668" s="1512"/>
      <c r="EY668" s="1512"/>
      <c r="EZ668" s="1512"/>
      <c r="FA668" s="1512"/>
    </row>
    <row r="669" spans="1:157" ht="13" customHeight="1">
      <c r="A669" s="22"/>
      <c r="B669" t="s">
        <v>588</v>
      </c>
      <c r="G669" s="1475"/>
      <c r="H669" s="1475"/>
      <c r="I669" s="1475"/>
      <c r="J669" s="1475"/>
      <c r="K669" s="1475"/>
      <c r="L669" s="1475"/>
      <c r="M669" s="1475"/>
      <c r="N669" s="1475"/>
      <c r="O669" s="1475"/>
      <c r="P669" s="1475"/>
      <c r="Q669" s="1475"/>
      <c r="R669" s="1475"/>
      <c r="T669" s="22"/>
      <c r="U669" t="s">
        <v>588</v>
      </c>
      <c r="Z669" s="1471"/>
      <c r="AA669" s="1471"/>
      <c r="AB669" s="1471"/>
      <c r="AC669" s="1471"/>
      <c r="AD669" s="1471"/>
      <c r="AE669" s="1471"/>
      <c r="AF669" s="1471"/>
      <c r="AG669" s="1471"/>
      <c r="AH669" s="1471"/>
      <c r="AI669" s="1471"/>
      <c r="AJ669" s="1471"/>
      <c r="AK669" s="1471"/>
      <c r="AZ669" s="3"/>
      <c r="BA669" s="118">
        <f t="shared" si="50"/>
        <v>3278</v>
      </c>
      <c r="BB669" s="3"/>
      <c r="BC669" s="3"/>
      <c r="BD669" s="3"/>
      <c r="BE669" s="3"/>
      <c r="BF669" s="218"/>
      <c r="BG669" s="316">
        <f t="shared" si="51"/>
        <v>3</v>
      </c>
      <c r="BH669" s="319">
        <f t="shared" si="52"/>
        <v>3.7037037037037035E-2</v>
      </c>
      <c r="BI669" s="320">
        <f t="shared" si="53"/>
        <v>1.111111111111111E-2</v>
      </c>
      <c r="BJ669" s="3"/>
      <c r="BK669" s="3"/>
      <c r="BL669" s="3"/>
      <c r="BM669" s="3"/>
      <c r="BN669" s="3"/>
      <c r="BO669" s="3"/>
      <c r="BT669" s="316">
        <f t="shared" si="54"/>
        <v>3</v>
      </c>
      <c r="BU669" s="319">
        <f t="shared" si="55"/>
        <v>3.7037037037037035E-2</v>
      </c>
      <c r="BV669" s="320">
        <f t="shared" si="56"/>
        <v>1.1113723031917671E-2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12" t="e">
        <f>DX631*(BN631/$BN$632)</f>
        <v>#VALUE!</v>
      </c>
      <c r="DY669" s="1512"/>
      <c r="DZ669" s="1512"/>
      <c r="EA669" s="1512"/>
      <c r="EB669" s="1512"/>
      <c r="EC669" s="1512" t="e">
        <f>EC631*(BS631/$BS$632)</f>
        <v>#VALUE!</v>
      </c>
      <c r="ED669" s="1512"/>
      <c r="EE669" s="1512"/>
      <c r="EF669" s="1512"/>
      <c r="EG669" s="1512"/>
      <c r="EH669" s="1512" t="e">
        <f>EH631*(BX631/$BX$632)</f>
        <v>#VALUE!</v>
      </c>
      <c r="EI669" s="1512"/>
      <c r="EJ669" s="1512"/>
      <c r="EK669" s="1512"/>
      <c r="EL669" s="1512"/>
      <c r="EM669" s="1512" t="e">
        <f>EM631*(CC631/$CC$632)</f>
        <v>#VALUE!</v>
      </c>
      <c r="EN669" s="1512"/>
      <c r="EO669" s="1512"/>
      <c r="EP669" s="1512"/>
      <c r="EQ669" s="1512"/>
      <c r="ER669" s="1512" t="e">
        <f>ER631*(CH631/$CH$632)</f>
        <v>#VALUE!</v>
      </c>
      <c r="ES669" s="1512"/>
      <c r="ET669" s="1512"/>
      <c r="EU669" s="1512"/>
      <c r="EV669" s="1512"/>
      <c r="EW669" s="1512" t="e">
        <f>EW631*(CM631/$CM$632)</f>
        <v>#VALUE!</v>
      </c>
      <c r="EX669" s="1512"/>
      <c r="EY669" s="1512"/>
      <c r="EZ669" s="1512"/>
      <c r="FA669" s="1512"/>
    </row>
    <row r="670" spans="1:157" ht="13" customHeight="1">
      <c r="A670" s="22"/>
      <c r="B670" t="s">
        <v>17</v>
      </c>
      <c r="G670" s="1475"/>
      <c r="H670" s="1475"/>
      <c r="I670" s="1475"/>
      <c r="J670" s="1475"/>
      <c r="K670" s="1475"/>
      <c r="L670" s="1475"/>
      <c r="M670" s="1475"/>
      <c r="N670" s="1475"/>
      <c r="O670" s="1475"/>
      <c r="P670" s="1475"/>
      <c r="Q670" s="1475"/>
      <c r="R670" s="1475"/>
      <c r="T670" s="22"/>
      <c r="U670" t="s">
        <v>17</v>
      </c>
      <c r="Z670" s="1471"/>
      <c r="AA670" s="1471"/>
      <c r="AB670" s="1471"/>
      <c r="AC670" s="1471"/>
      <c r="AD670" s="1471"/>
      <c r="AE670" s="1471"/>
      <c r="AF670" s="1471"/>
      <c r="AG670" s="1471"/>
      <c r="AH670" s="1471"/>
      <c r="AI670" s="1471"/>
      <c r="AJ670" s="1471"/>
      <c r="AK670" s="1471"/>
      <c r="AZ670" s="3"/>
      <c r="BA670" s="118">
        <f t="shared" si="50"/>
        <v>2364</v>
      </c>
      <c r="BB670" s="3"/>
      <c r="BC670" s="3"/>
      <c r="BD670" s="3"/>
      <c r="BE670" s="3"/>
      <c r="BF670" s="218"/>
      <c r="BG670" s="316">
        <f t="shared" si="51"/>
        <v>3</v>
      </c>
      <c r="BH670" s="319">
        <f t="shared" si="52"/>
        <v>3.7037037037037035E-2</v>
      </c>
      <c r="BI670" s="320">
        <f t="shared" si="53"/>
        <v>1.111111111111111E-2</v>
      </c>
      <c r="BJ670" s="3"/>
      <c r="BK670" s="3"/>
      <c r="BL670" s="3"/>
      <c r="BM670" s="3"/>
      <c r="BN670" s="3"/>
      <c r="BO670" s="3"/>
      <c r="BT670" s="316">
        <f t="shared" si="54"/>
        <v>3</v>
      </c>
      <c r="BU670" s="319">
        <f t="shared" si="55"/>
        <v>3.7037037037037035E-2</v>
      </c>
      <c r="BV670" s="320">
        <f t="shared" si="56"/>
        <v>1.1106591643504395E-2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12">
        <f>SUMIF(DX635:EB669,"&gt;0")</f>
        <v>0</v>
      </c>
      <c r="DY670" s="1512"/>
      <c r="DZ670" s="1512"/>
      <c r="EA670" s="1512"/>
      <c r="EB670" s="1512"/>
      <c r="EC670" s="1512">
        <f>SUMIF(EC635:EG669,"&gt;0")</f>
        <v>1386.8717948717947</v>
      </c>
      <c r="ED670" s="1512"/>
      <c r="EE670" s="1512"/>
      <c r="EF670" s="1512"/>
      <c r="EG670" s="1512"/>
      <c r="EH670" s="1512">
        <f>SUMIF(EH635:EL669,"&gt;0")</f>
        <v>1566</v>
      </c>
      <c r="EI670" s="1512"/>
      <c r="EJ670" s="1512"/>
      <c r="EK670" s="1512"/>
      <c r="EL670" s="1512"/>
      <c r="EM670" s="1512">
        <f>SUMIF(EM635:EQ669,"&gt;0")</f>
        <v>1913.4285714285713</v>
      </c>
      <c r="EN670" s="1512"/>
      <c r="EO670" s="1512"/>
      <c r="EP670" s="1512"/>
      <c r="EQ670" s="1512"/>
      <c r="ER670" s="1512">
        <f>SUMIF(ER635:EV669,"&gt;0")</f>
        <v>0</v>
      </c>
      <c r="ES670" s="1512"/>
      <c r="ET670" s="1512"/>
      <c r="EU670" s="1512"/>
      <c r="EV670" s="1512"/>
      <c r="EW670" s="1512">
        <f>SUMIF(EW635:FA669,"&gt;0")</f>
        <v>0</v>
      </c>
      <c r="EX670" s="1512"/>
      <c r="EY670" s="1512"/>
      <c r="EZ670" s="1512"/>
      <c r="FA670" s="1512"/>
    </row>
    <row r="671" spans="1:157" ht="13" customHeight="1">
      <c r="A671" s="22"/>
      <c r="B671" t="s">
        <v>316</v>
      </c>
      <c r="G671" s="1474"/>
      <c r="H671" s="1474"/>
      <c r="I671" s="1474"/>
      <c r="J671" s="1474"/>
      <c r="K671" s="1474"/>
      <c r="L671" s="1474"/>
      <c r="O671" s="33" t="s">
        <v>206</v>
      </c>
      <c r="P671" s="1476"/>
      <c r="Q671" s="1476"/>
      <c r="R671" s="1476"/>
      <c r="T671" s="22"/>
      <c r="U671" t="s">
        <v>316</v>
      </c>
      <c r="Z671" s="1474"/>
      <c r="AA671" s="1474"/>
      <c r="AB671" s="1474"/>
      <c r="AC671" s="1474"/>
      <c r="AD671" s="1474"/>
      <c r="AE671" s="1474"/>
      <c r="AH671" s="33" t="s">
        <v>206</v>
      </c>
      <c r="AI671" s="1476"/>
      <c r="AJ671" s="1476"/>
      <c r="AK671" s="1476"/>
      <c r="AZ671" s="3"/>
      <c r="BA671" s="118">
        <f t="shared" si="50"/>
        <v>2836</v>
      </c>
      <c r="BB671" s="3"/>
      <c r="BC671" s="3"/>
      <c r="BD671" s="3"/>
      <c r="BE671" s="3"/>
      <c r="BF671" s="218"/>
      <c r="BG671" s="316">
        <f t="shared" si="51"/>
        <v>7</v>
      </c>
      <c r="BH671" s="319">
        <f t="shared" si="52"/>
        <v>8.6419753086419748E-2</v>
      </c>
      <c r="BI671" s="320">
        <f t="shared" si="53"/>
        <v>4.3209876543209874E-2</v>
      </c>
      <c r="BJ671" s="3"/>
      <c r="BK671" s="3"/>
      <c r="BL671" s="3"/>
      <c r="BM671" s="3"/>
      <c r="BN671" s="3"/>
      <c r="BO671" s="3"/>
      <c r="BT671" s="316">
        <f t="shared" si="54"/>
        <v>7</v>
      </c>
      <c r="BU671" s="319">
        <f t="shared" si="55"/>
        <v>8.6419753086419748E-2</v>
      </c>
      <c r="BV671" s="320">
        <f t="shared" si="56"/>
        <v>4.3209876543209874E-2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75"/>
      <c r="I672" s="1475"/>
      <c r="J672" s="1475"/>
      <c r="K672" s="1475"/>
      <c r="L672" s="1475"/>
      <c r="M672" s="1475"/>
      <c r="N672" s="1475"/>
      <c r="O672" s="1475"/>
      <c r="P672" s="1475"/>
      <c r="Q672" s="1475"/>
      <c r="R672" s="1475"/>
      <c r="T672" s="22"/>
      <c r="U672" t="s">
        <v>18</v>
      </c>
      <c r="AA672" s="1475"/>
      <c r="AB672" s="1475"/>
      <c r="AC672" s="1475"/>
      <c r="AD672" s="1475"/>
      <c r="AE672" s="1475"/>
      <c r="AF672" s="1475"/>
      <c r="AG672" s="1475"/>
      <c r="AH672" s="1475"/>
      <c r="AI672" s="1475"/>
      <c r="AJ672" s="1475"/>
      <c r="AK672" s="1475"/>
      <c r="AZ672" s="3"/>
      <c r="BA672" s="118">
        <f t="shared" si="50"/>
        <v>3278</v>
      </c>
      <c r="BB672" s="3"/>
      <c r="BC672" s="3"/>
      <c r="BD672" s="3"/>
      <c r="BE672" s="3"/>
      <c r="BF672" s="218"/>
      <c r="BG672" s="316">
        <f t="shared" si="51"/>
        <v>5</v>
      </c>
      <c r="BH672" s="319">
        <f t="shared" si="52"/>
        <v>6.1728395061728392E-2</v>
      </c>
      <c r="BI672" s="320">
        <f t="shared" si="53"/>
        <v>3.0864197530864196E-2</v>
      </c>
      <c r="BJ672" s="3"/>
      <c r="BK672" s="3"/>
      <c r="BL672" s="3"/>
      <c r="BM672" s="3"/>
      <c r="BN672" s="3"/>
      <c r="BO672" s="3"/>
      <c r="BT672" s="316">
        <f t="shared" si="54"/>
        <v>5</v>
      </c>
      <c r="BU672" s="319">
        <f t="shared" si="55"/>
        <v>6.1728395061728392E-2</v>
      </c>
      <c r="BV672" s="320">
        <f t="shared" si="56"/>
        <v>3.0864197530864196E-2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67" t="s">
        <v>677</v>
      </c>
      <c r="O673" s="1467"/>
      <c r="T673" s="22"/>
      <c r="U673" t="s">
        <v>20</v>
      </c>
      <c r="AG673" s="1467" t="s">
        <v>677</v>
      </c>
      <c r="AH673" s="1467"/>
      <c r="AZ673" s="3"/>
      <c r="BA673" s="118">
        <f t="shared" si="50"/>
        <v>2364</v>
      </c>
      <c r="BB673" s="3"/>
      <c r="BC673" s="3"/>
      <c r="BD673" s="3"/>
      <c r="BE673" s="3"/>
      <c r="BF673" s="218"/>
      <c r="BG673" s="316">
        <f t="shared" si="51"/>
        <v>3</v>
      </c>
      <c r="BH673" s="319">
        <f t="shared" si="52"/>
        <v>3.7037037037037035E-2</v>
      </c>
      <c r="BI673" s="320">
        <f t="shared" si="53"/>
        <v>1.8518518518518517E-2</v>
      </c>
      <c r="BJ673" s="3"/>
      <c r="BK673" s="3"/>
      <c r="BL673" s="3"/>
      <c r="BM673" s="3"/>
      <c r="BN673" s="3"/>
      <c r="BO673" s="3"/>
      <c r="BT673" s="316">
        <f t="shared" si="54"/>
        <v>3</v>
      </c>
      <c r="BU673" s="319">
        <f t="shared" si="55"/>
        <v>3.7037037037037035E-2</v>
      </c>
      <c r="BV673" s="320">
        <f t="shared" si="56"/>
        <v>1.8518518518518517E-2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50"/>
        <v>2836</v>
      </c>
      <c r="BB674" s="3"/>
      <c r="BC674" s="3"/>
      <c r="BD674" s="3"/>
      <c r="BE674" s="3"/>
      <c r="BF674" s="218"/>
      <c r="BG674" s="316">
        <f t="shared" si="51"/>
        <v>11</v>
      </c>
      <c r="BH674" s="319">
        <f t="shared" si="52"/>
        <v>0.13580246913580246</v>
      </c>
      <c r="BI674" s="320">
        <f t="shared" si="53"/>
        <v>8.1481481481481474E-2</v>
      </c>
      <c r="BJ674" s="3"/>
      <c r="BK674" s="3"/>
      <c r="BL674" s="3"/>
      <c r="BM674" s="3"/>
      <c r="BN674" s="3"/>
      <c r="BO674" s="3"/>
      <c r="BT674" s="316">
        <f t="shared" si="54"/>
        <v>11</v>
      </c>
      <c r="BU674" s="319">
        <f t="shared" si="55"/>
        <v>0.13580246913580246</v>
      </c>
      <c r="BV674" s="320">
        <f t="shared" si="56"/>
        <v>8.1515949113241837E-2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5">
        <f>C635</f>
        <v>0</v>
      </c>
      <c r="H675" s="1455"/>
      <c r="I675" s="1455"/>
      <c r="J675" s="1455"/>
      <c r="K675" s="1455"/>
      <c r="L675" s="1455"/>
      <c r="M675" s="1455"/>
      <c r="N675" s="1455"/>
      <c r="O675" s="1455"/>
      <c r="P675" s="1455"/>
      <c r="Q675" s="1455"/>
      <c r="R675" s="1455"/>
      <c r="T675" s="55" t="s">
        <v>654</v>
      </c>
      <c r="U675" t="s">
        <v>471</v>
      </c>
      <c r="Z675" s="1455">
        <f>C636</f>
        <v>0</v>
      </c>
      <c r="AA675" s="1455"/>
      <c r="AB675" s="1455"/>
      <c r="AC675" s="1455"/>
      <c r="AD675" s="1455"/>
      <c r="AE675" s="1455"/>
      <c r="AF675" s="1455"/>
      <c r="AG675" s="1455"/>
      <c r="AH675" s="1455"/>
      <c r="AI675" s="1455"/>
      <c r="AJ675" s="1455"/>
      <c r="AK675" s="1455"/>
      <c r="AZ675" s="3"/>
      <c r="BA675" s="118">
        <f t="shared" si="50"/>
        <v>3278</v>
      </c>
      <c r="BB675" s="3"/>
      <c r="BC675" s="3"/>
      <c r="BD675" s="3"/>
      <c r="BE675" s="3"/>
      <c r="BF675" s="218"/>
      <c r="BG675" s="316">
        <f t="shared" si="51"/>
        <v>5</v>
      </c>
      <c r="BH675" s="319">
        <f t="shared" si="52"/>
        <v>6.1728395061728392E-2</v>
      </c>
      <c r="BI675" s="320">
        <f t="shared" si="53"/>
        <v>3.7037037037037035E-2</v>
      </c>
      <c r="BJ675" s="3"/>
      <c r="BK675" s="3"/>
      <c r="BL675" s="3"/>
      <c r="BM675" s="3"/>
      <c r="BN675" s="3"/>
      <c r="BO675" s="3"/>
      <c r="BT675" s="316">
        <f t="shared" si="54"/>
        <v>5</v>
      </c>
      <c r="BU675" s="319">
        <f t="shared" si="55"/>
        <v>6.1728395061728392E-2</v>
      </c>
      <c r="BV675" s="320">
        <f t="shared" si="56"/>
        <v>3.7045743439725567E-2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75"/>
      <c r="H676" s="1475"/>
      <c r="I676" s="1475"/>
      <c r="J676" s="1475"/>
      <c r="K676" s="1475"/>
      <c r="L676" s="1475"/>
      <c r="M676" s="1475"/>
      <c r="N676" s="1475"/>
      <c r="O676" s="1475"/>
      <c r="P676" s="1475"/>
      <c r="Q676" s="1475"/>
      <c r="R676" s="1475"/>
      <c r="T676" s="22"/>
      <c r="U676" t="s">
        <v>85</v>
      </c>
      <c r="Z676" s="1475"/>
      <c r="AA676" s="1475"/>
      <c r="AB676" s="1475"/>
      <c r="AC676" s="1475"/>
      <c r="AD676" s="1475"/>
      <c r="AE676" s="1475"/>
      <c r="AF676" s="1475"/>
      <c r="AG676" s="1475"/>
      <c r="AH676" s="1475"/>
      <c r="AI676" s="1475"/>
      <c r="AJ676" s="1475"/>
      <c r="AK676" s="1475"/>
      <c r="AZ676" s="3"/>
      <c r="BA676" s="118">
        <f t="shared" si="50"/>
        <v>2364</v>
      </c>
      <c r="BB676" s="3"/>
      <c r="BC676" s="3"/>
      <c r="BD676" s="3"/>
      <c r="BE676" s="3"/>
      <c r="BF676" s="218"/>
      <c r="BG676" s="316">
        <f t="shared" si="51"/>
        <v>6</v>
      </c>
      <c r="BH676" s="319">
        <f t="shared" si="52"/>
        <v>7.407407407407407E-2</v>
      </c>
      <c r="BI676" s="320">
        <f t="shared" si="53"/>
        <v>4.4444444444444439E-2</v>
      </c>
      <c r="BJ676" s="3"/>
      <c r="BK676" s="3"/>
      <c r="BL676" s="3"/>
      <c r="BM676" s="3"/>
      <c r="BN676" s="3"/>
      <c r="BO676" s="3"/>
      <c r="BT676" s="316">
        <f t="shared" si="54"/>
        <v>6</v>
      </c>
      <c r="BU676" s="319">
        <f t="shared" si="55"/>
        <v>7.407407407407407E-2</v>
      </c>
      <c r="BV676" s="320">
        <f t="shared" si="56"/>
        <v>4.4448963912051158E-2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75"/>
      <c r="H677" s="1475"/>
      <c r="I677" s="1475"/>
      <c r="J677" s="1475"/>
      <c r="K677" s="1475"/>
      <c r="L677" s="1475"/>
      <c r="M677" s="1475"/>
      <c r="N677" s="1475"/>
      <c r="O677" s="1475"/>
      <c r="P677" s="1475"/>
      <c r="Q677" s="1475"/>
      <c r="R677" s="1475"/>
      <c r="T677" s="22"/>
      <c r="U677" t="s">
        <v>588</v>
      </c>
      <c r="Z677" s="1471"/>
      <c r="AA677" s="1471"/>
      <c r="AB677" s="1471"/>
      <c r="AC677" s="1471"/>
      <c r="AD677" s="1471"/>
      <c r="AE677" s="1471"/>
      <c r="AF677" s="1471"/>
      <c r="AG677" s="1471"/>
      <c r="AH677" s="1471"/>
      <c r="AI677" s="1471"/>
      <c r="AJ677" s="1471"/>
      <c r="AK677" s="1471"/>
      <c r="AZ677" s="3"/>
      <c r="BA677" s="118">
        <f t="shared" si="50"/>
        <v>2836</v>
      </c>
      <c r="BB677" s="3"/>
      <c r="BC677" s="3"/>
      <c r="BD677" s="3"/>
      <c r="BE677" s="3"/>
      <c r="BF677" s="218"/>
      <c r="BG677" s="316">
        <f t="shared" si="51"/>
        <v>8</v>
      </c>
      <c r="BH677" s="319">
        <f t="shared" si="52"/>
        <v>9.8765432098765427E-2</v>
      </c>
      <c r="BI677" s="320">
        <f t="shared" si="53"/>
        <v>6.9135802469135796E-2</v>
      </c>
      <c r="BJ677" s="3"/>
      <c r="BK677" s="3"/>
      <c r="BL677" s="3"/>
      <c r="BM677" s="3"/>
      <c r="BN677" s="3"/>
      <c r="BO677" s="3"/>
      <c r="BT677" s="316">
        <f t="shared" si="54"/>
        <v>8</v>
      </c>
      <c r="BU677" s="319">
        <f t="shared" si="55"/>
        <v>9.8765432098765427E-2</v>
      </c>
      <c r="BV677" s="320">
        <f t="shared" si="56"/>
        <v>6.9144158258653471E-2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75"/>
      <c r="H678" s="1475"/>
      <c r="I678" s="1475"/>
      <c r="J678" s="1475"/>
      <c r="K678" s="1475"/>
      <c r="L678" s="1475"/>
      <c r="M678" s="1475"/>
      <c r="N678" s="1475"/>
      <c r="O678" s="1475"/>
      <c r="P678" s="1475"/>
      <c r="Q678" s="1475"/>
      <c r="R678" s="1475"/>
      <c r="T678" s="22"/>
      <c r="U678" t="s">
        <v>17</v>
      </c>
      <c r="Z678" s="1471"/>
      <c r="AA678" s="1471"/>
      <c r="AB678" s="1471"/>
      <c r="AC678" s="1471"/>
      <c r="AD678" s="1471"/>
      <c r="AE678" s="1471"/>
      <c r="AF678" s="1471"/>
      <c r="AG678" s="1471"/>
      <c r="AH678" s="1471"/>
      <c r="AI678" s="1471"/>
      <c r="AJ678" s="1471"/>
      <c r="AK678" s="1471"/>
      <c r="AZ678" s="3"/>
      <c r="BA678" s="118">
        <f t="shared" si="50"/>
        <v>3278</v>
      </c>
      <c r="BB678" s="3"/>
      <c r="BC678" s="3"/>
      <c r="BD678" s="3"/>
      <c r="BE678" s="3"/>
      <c r="BF678" s="218"/>
      <c r="BG678" s="316">
        <f t="shared" si="51"/>
        <v>5</v>
      </c>
      <c r="BH678" s="319">
        <f t="shared" si="52"/>
        <v>6.1728395061728392E-2</v>
      </c>
      <c r="BI678" s="320">
        <f t="shared" si="53"/>
        <v>4.3209876543209874E-2</v>
      </c>
      <c r="BJ678" s="3"/>
      <c r="BK678" s="3"/>
      <c r="BL678" s="3"/>
      <c r="BM678" s="3"/>
      <c r="BN678" s="3"/>
      <c r="BO678" s="3"/>
      <c r="BT678" s="316">
        <f t="shared" si="54"/>
        <v>5</v>
      </c>
      <c r="BU678" s="319">
        <f t="shared" si="55"/>
        <v>6.1728395061728392E-2</v>
      </c>
      <c r="BV678" s="320">
        <f t="shared" si="56"/>
        <v>4.3227289348586953E-2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74"/>
      <c r="H679" s="1474"/>
      <c r="I679" s="1474"/>
      <c r="J679" s="1474"/>
      <c r="K679" s="1474"/>
      <c r="L679" s="1474"/>
      <c r="O679" s="33" t="s">
        <v>206</v>
      </c>
      <c r="P679" s="1476"/>
      <c r="Q679" s="1476"/>
      <c r="R679" s="1476"/>
      <c r="T679" s="22"/>
      <c r="U679" t="s">
        <v>316</v>
      </c>
      <c r="Z679" s="1474"/>
      <c r="AA679" s="1474"/>
      <c r="AB679" s="1474"/>
      <c r="AC679" s="1474"/>
      <c r="AD679" s="1474"/>
      <c r="AE679" s="1474"/>
      <c r="AH679" s="33" t="s">
        <v>206</v>
      </c>
      <c r="AI679" s="1476"/>
      <c r="AJ679" s="1476"/>
      <c r="AK679" s="1476"/>
      <c r="AZ679" s="3"/>
      <c r="BA679" s="118">
        <f t="shared" si="50"/>
        <v>2364</v>
      </c>
      <c r="BB679" s="3"/>
      <c r="BC679" s="3"/>
      <c r="BD679" s="3"/>
      <c r="BE679" s="3"/>
      <c r="BF679" s="218"/>
      <c r="BG679" s="316">
        <f t="shared" si="51"/>
        <v>5</v>
      </c>
      <c r="BH679" s="319">
        <f t="shared" si="52"/>
        <v>6.1728395061728392E-2</v>
      </c>
      <c r="BI679" s="320">
        <f t="shared" si="53"/>
        <v>4.3209876543209874E-2</v>
      </c>
      <c r="BJ679" s="3"/>
      <c r="BK679" s="3"/>
      <c r="BL679" s="3"/>
      <c r="BM679" s="3"/>
      <c r="BN679" s="3"/>
      <c r="BO679" s="3"/>
      <c r="BT679" s="316">
        <f t="shared" si="54"/>
        <v>5</v>
      </c>
      <c r="BU679" s="319">
        <f t="shared" si="55"/>
        <v>6.1728395061728392E-2</v>
      </c>
      <c r="BV679" s="320">
        <f t="shared" si="56"/>
        <v>4.3217408989221065E-2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75"/>
      <c r="I680" s="1475"/>
      <c r="J680" s="1475"/>
      <c r="K680" s="1475"/>
      <c r="L680" s="1475"/>
      <c r="M680" s="1475"/>
      <c r="N680" s="1475"/>
      <c r="O680" s="1475"/>
      <c r="P680" s="1475"/>
      <c r="Q680" s="1475"/>
      <c r="R680" s="1475"/>
      <c r="T680" s="22"/>
      <c r="U680" t="s">
        <v>18</v>
      </c>
      <c r="AA680" s="1475"/>
      <c r="AB680" s="1475"/>
      <c r="AC680" s="1475"/>
      <c r="AD680" s="1475"/>
      <c r="AE680" s="1475"/>
      <c r="AF680" s="1475"/>
      <c r="AG680" s="1475"/>
      <c r="AH680" s="1475"/>
      <c r="AI680" s="1475"/>
      <c r="AJ680" s="1475"/>
      <c r="AK680" s="1475"/>
      <c r="AZ680" s="3"/>
      <c r="BA680" s="118">
        <f t="shared" si="50"/>
        <v>2836</v>
      </c>
      <c r="BB680" s="3"/>
      <c r="BC680" s="3"/>
      <c r="BD680" s="3"/>
      <c r="BE680" s="3"/>
      <c r="BF680" s="218"/>
      <c r="BG680" s="316">
        <f t="shared" si="51"/>
        <v>8</v>
      </c>
      <c r="BH680" s="319">
        <f t="shared" si="52"/>
        <v>9.8765432098765427E-2</v>
      </c>
      <c r="BI680" s="320">
        <f t="shared" si="53"/>
        <v>7.9012345679012344E-2</v>
      </c>
      <c r="BJ680" s="3"/>
      <c r="BK680" s="3"/>
      <c r="BL680" s="3"/>
      <c r="BM680" s="3"/>
      <c r="BN680" s="3"/>
      <c r="BO680" s="3"/>
      <c r="BT680" s="316">
        <f t="shared" si="54"/>
        <v>8</v>
      </c>
      <c r="BU680" s="319">
        <f t="shared" si="55"/>
        <v>9.8765432098765427E-2</v>
      </c>
      <c r="BV680" s="320">
        <f t="shared" si="56"/>
        <v>7.9045768837082989E-2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67" t="s">
        <v>677</v>
      </c>
      <c r="O681" s="1467"/>
      <c r="T681" s="22"/>
      <c r="U681" t="s">
        <v>20</v>
      </c>
      <c r="AG681" s="1467" t="s">
        <v>677</v>
      </c>
      <c r="AH681" s="1467"/>
      <c r="AZ681" s="3"/>
      <c r="BA681" s="118">
        <f t="shared" si="50"/>
        <v>3278</v>
      </c>
      <c r="BB681" s="3"/>
      <c r="BC681" s="3"/>
      <c r="BD681" s="3"/>
      <c r="BE681" s="3"/>
      <c r="BF681" s="218"/>
      <c r="BG681" s="316">
        <f t="shared" si="51"/>
        <v>3</v>
      </c>
      <c r="BH681" s="319">
        <f t="shared" si="52"/>
        <v>3.7037037037037035E-2</v>
      </c>
      <c r="BI681" s="320">
        <f t="shared" si="53"/>
        <v>2.9629629629629631E-2</v>
      </c>
      <c r="BJ681" s="3"/>
      <c r="BK681" s="3"/>
      <c r="BL681" s="3"/>
      <c r="BM681" s="3"/>
      <c r="BN681" s="3"/>
      <c r="BO681" s="3"/>
      <c r="BT681" s="316">
        <f t="shared" si="54"/>
        <v>3</v>
      </c>
      <c r="BU681" s="319">
        <f t="shared" si="55"/>
        <v>3.7037037037037035E-2</v>
      </c>
      <c r="BV681" s="320">
        <f t="shared" si="56"/>
        <v>2.5936373609152168E-2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50"/>
        <v>N/A</v>
      </c>
      <c r="BB682" s="3"/>
      <c r="BC682" s="3"/>
      <c r="BD682" s="3"/>
      <c r="BE682" s="3"/>
      <c r="BF682" s="218"/>
      <c r="BG682" s="316">
        <f t="shared" si="51"/>
        <v>4</v>
      </c>
      <c r="BH682" s="319">
        <f t="shared" si="52"/>
        <v>4.9382716049382713E-2</v>
      </c>
      <c r="BI682" s="320">
        <f t="shared" si="53"/>
        <v>3.9506172839506172E-2</v>
      </c>
      <c r="BJ682" s="3"/>
      <c r="BK682" s="3"/>
      <c r="BL682" s="3"/>
      <c r="BM682" s="3"/>
      <c r="BN682" s="3"/>
      <c r="BO682" s="3"/>
      <c r="BT682" s="316">
        <f t="shared" si="54"/>
        <v>4</v>
      </c>
      <c r="BU682" s="319">
        <f t="shared" si="55"/>
        <v>4.9382716049382713E-2</v>
      </c>
      <c r="BV682" s="320">
        <f t="shared" si="56"/>
        <v>3.9500146882697221E-2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55">
        <f>C637</f>
        <v>0</v>
      </c>
      <c r="H683" s="1455"/>
      <c r="I683" s="1455"/>
      <c r="J683" s="1455"/>
      <c r="K683" s="1455"/>
      <c r="L683" s="1455"/>
      <c r="M683" s="1455"/>
      <c r="N683" s="1455"/>
      <c r="O683" s="1455"/>
      <c r="P683" s="1455"/>
      <c r="Q683" s="1455"/>
      <c r="R683" s="1455"/>
      <c r="T683" s="55" t="s">
        <v>363</v>
      </c>
      <c r="U683" t="s">
        <v>471</v>
      </c>
      <c r="Z683" s="1455">
        <f>C638</f>
        <v>0</v>
      </c>
      <c r="AA683" s="1455"/>
      <c r="AB683" s="1455"/>
      <c r="AC683" s="1455"/>
      <c r="AD683" s="1455"/>
      <c r="AE683" s="1455"/>
      <c r="AF683" s="1455"/>
      <c r="AG683" s="1455"/>
      <c r="AH683" s="1455"/>
      <c r="AI683" s="1455"/>
      <c r="AJ683" s="1455"/>
      <c r="AK683" s="1455"/>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75"/>
      <c r="H684" s="1475"/>
      <c r="I684" s="1475"/>
      <c r="J684" s="1475"/>
      <c r="K684" s="1475"/>
      <c r="L684" s="1475"/>
      <c r="M684" s="1475"/>
      <c r="N684" s="1475"/>
      <c r="O684" s="1475"/>
      <c r="P684" s="1475"/>
      <c r="Q684" s="1475"/>
      <c r="R684" s="1475"/>
      <c r="T684" s="22"/>
      <c r="U684" t="s">
        <v>85</v>
      </c>
      <c r="Z684" s="1475"/>
      <c r="AA684" s="1475"/>
      <c r="AB684" s="1475"/>
      <c r="AC684" s="1475"/>
      <c r="AD684" s="1475"/>
      <c r="AE684" s="1475"/>
      <c r="AF684" s="1475"/>
      <c r="AG684" s="1475"/>
      <c r="AH684" s="1475"/>
      <c r="AI684" s="1475"/>
      <c r="AJ684" s="1475"/>
      <c r="AK684" s="1475"/>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75"/>
      <c r="H685" s="1475"/>
      <c r="I685" s="1475"/>
      <c r="J685" s="1475"/>
      <c r="K685" s="1475"/>
      <c r="L685" s="1475"/>
      <c r="M685" s="1475"/>
      <c r="N685" s="1475"/>
      <c r="O685" s="1475"/>
      <c r="P685" s="1475"/>
      <c r="Q685" s="1475"/>
      <c r="R685" s="1475"/>
      <c r="U685" t="s">
        <v>588</v>
      </c>
      <c r="Z685" s="1471"/>
      <c r="AA685" s="1471"/>
      <c r="AB685" s="1471"/>
      <c r="AC685" s="1471"/>
      <c r="AD685" s="1471"/>
      <c r="AE685" s="1471"/>
      <c r="AF685" s="1471"/>
      <c r="AG685" s="1471"/>
      <c r="AH685" s="1471"/>
      <c r="AI685" s="1471"/>
      <c r="AJ685" s="1471"/>
      <c r="AK685" s="1471"/>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75"/>
      <c r="H686" s="1475"/>
      <c r="I686" s="1475"/>
      <c r="J686" s="1475"/>
      <c r="K686" s="1475"/>
      <c r="L686" s="1475"/>
      <c r="M686" s="1475"/>
      <c r="N686" s="1475"/>
      <c r="O686" s="1475"/>
      <c r="P686" s="1475"/>
      <c r="Q686" s="1475"/>
      <c r="R686" s="1475"/>
      <c r="U686" t="s">
        <v>17</v>
      </c>
      <c r="Z686" s="1471"/>
      <c r="AA686" s="1471"/>
      <c r="AB686" s="1471"/>
      <c r="AC686" s="1471"/>
      <c r="AD686" s="1471"/>
      <c r="AE686" s="1471"/>
      <c r="AF686" s="1471"/>
      <c r="AG686" s="1471"/>
      <c r="AH686" s="1471"/>
      <c r="AI686" s="1471"/>
      <c r="AJ686" s="1471"/>
      <c r="AK686" s="1471"/>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74"/>
      <c r="H687" s="1474"/>
      <c r="I687" s="1474"/>
      <c r="J687" s="1474"/>
      <c r="K687" s="1474"/>
      <c r="L687" s="1474"/>
      <c r="O687" s="33" t="s">
        <v>206</v>
      </c>
      <c r="P687" s="1476"/>
      <c r="Q687" s="1476"/>
      <c r="R687" s="1476"/>
      <c r="U687" t="s">
        <v>316</v>
      </c>
      <c r="Z687" s="1474"/>
      <c r="AA687" s="1474"/>
      <c r="AB687" s="1474"/>
      <c r="AC687" s="1474"/>
      <c r="AD687" s="1474"/>
      <c r="AE687" s="1474"/>
      <c r="AH687" s="33" t="s">
        <v>206</v>
      </c>
      <c r="AI687" s="1476"/>
      <c r="AJ687" s="1476"/>
      <c r="AK687" s="1476"/>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75"/>
      <c r="I688" s="1475"/>
      <c r="J688" s="1475"/>
      <c r="K688" s="1475"/>
      <c r="L688" s="1475"/>
      <c r="M688" s="1475"/>
      <c r="N688" s="1475"/>
      <c r="O688" s="1475"/>
      <c r="P688" s="1475"/>
      <c r="Q688" s="1475"/>
      <c r="R688" s="1475"/>
      <c r="U688" t="s">
        <v>18</v>
      </c>
      <c r="AA688" s="1475"/>
      <c r="AB688" s="1475"/>
      <c r="AC688" s="1475"/>
      <c r="AD688" s="1475"/>
      <c r="AE688" s="1475"/>
      <c r="AF688" s="1475"/>
      <c r="AG688" s="1475"/>
      <c r="AH688" s="1475"/>
      <c r="AI688" s="1475"/>
      <c r="AJ688" s="1475"/>
      <c r="AK688" s="1475"/>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67" t="s">
        <v>677</v>
      </c>
      <c r="O689" s="1467"/>
      <c r="U689" t="s">
        <v>20</v>
      </c>
      <c r="AG689" s="1467" t="s">
        <v>677</v>
      </c>
      <c r="AH689" s="1467"/>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67" t="s">
        <v>553</v>
      </c>
      <c r="AF693" s="1467"/>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67" t="s">
        <v>553</v>
      </c>
      <c r="AF694" s="1467"/>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16">
        <v>45405</v>
      </c>
      <c r="AF695" s="1516"/>
      <c r="AG695" s="1516"/>
      <c r="AH695" s="1516"/>
      <c r="AI695" s="1516"/>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508">
        <v>45511</v>
      </c>
      <c r="AF696" s="1508"/>
      <c r="AG696" s="1508"/>
      <c r="AH696" s="1508"/>
      <c r="AI696" s="1508"/>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16">
        <v>45692</v>
      </c>
      <c r="AF698" s="1516"/>
      <c r="AG698" s="1516"/>
      <c r="AH698" s="1516"/>
      <c r="AI698" s="1516"/>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0">
        <v>0.53</v>
      </c>
      <c r="AF699" s="1770"/>
      <c r="AG699" s="1770"/>
      <c r="AH699" s="1770"/>
      <c r="AI699" s="1770"/>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5" t="str">
        <f>H335</f>
        <v>California Municipal Finance Authority</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67" t="s">
        <v>677</v>
      </c>
      <c r="AF702" s="1467"/>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75"/>
      <c r="X703" s="1475"/>
      <c r="Y703" s="1475"/>
      <c r="Z703" s="1475"/>
      <c r="AA703" s="1475"/>
      <c r="AB703" s="1475"/>
      <c r="AC703" s="1475"/>
      <c r="AD703" s="1475"/>
      <c r="AE703" s="1475"/>
      <c r="AF703" s="1475"/>
      <c r="AG703" s="1475"/>
      <c r="AH703" s="1475"/>
      <c r="AI703" s="1475"/>
      <c r="AJ703" s="1475"/>
      <c r="AK703" s="1475"/>
      <c r="AZ703" s="34"/>
      <c r="BA703" s="34"/>
      <c r="BB703" s="34"/>
      <c r="BC703" s="34"/>
      <c r="BD703" s="34"/>
      <c r="BE703" s="3"/>
      <c r="BF703" s="312" t="s">
        <v>914</v>
      </c>
      <c r="BG703" s="321">
        <f>SUM(BG668:BG702)</f>
        <v>81</v>
      </c>
      <c r="BH703" s="322">
        <f>SUM(BH668:BH702)</f>
        <v>1</v>
      </c>
      <c r="BI703" s="322">
        <f>SUM(BI668:BI702)</f>
        <v>0.60000000000000009</v>
      </c>
      <c r="BN703" s="3"/>
      <c r="BO703" s="3"/>
      <c r="BT703" s="893">
        <f>SUM(BT668:BT702)</f>
        <v>81</v>
      </c>
      <c r="BU703" s="322">
        <f>SUM(BU668:BU702)</f>
        <v>1</v>
      </c>
      <c r="BV703" s="322">
        <f>SUM(BV668:BV702)</f>
        <v>0.59640800580849707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75"/>
      <c r="K704" s="1475"/>
      <c r="L704" s="1475"/>
      <c r="M704" s="1475"/>
      <c r="N704" s="1475"/>
      <c r="O704" s="1475"/>
      <c r="P704" s="1475"/>
      <c r="Q704" s="1475"/>
      <c r="R704" s="1475"/>
      <c r="S704" s="1475"/>
      <c r="T704" s="1475"/>
      <c r="U704" s="1475"/>
      <c r="V704" s="1475"/>
      <c r="W704" s="1475"/>
      <c r="X704" s="147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74"/>
      <c r="K705" s="1474"/>
      <c r="L705" s="1474"/>
      <c r="M705" s="1474"/>
      <c r="N705" s="1474"/>
      <c r="O705" s="1474"/>
      <c r="P705" s="4" t="s">
        <v>206</v>
      </c>
      <c r="Q705" s="4"/>
      <c r="R705" s="1476"/>
      <c r="S705" s="1476"/>
      <c r="T705" s="147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75" t="s">
        <v>307</v>
      </c>
      <c r="X706" s="1475"/>
      <c r="Y706" s="1475"/>
      <c r="Z706" s="1475"/>
      <c r="AA706" s="1475"/>
      <c r="AB706" s="1475"/>
      <c r="AC706" s="1475"/>
      <c r="AD706" s="1475"/>
      <c r="AE706" s="1475"/>
      <c r="AF706" s="1475"/>
      <c r="AG706" s="1475"/>
      <c r="AH706" s="1475"/>
      <c r="AI706" s="1475"/>
      <c r="AJ706" s="1475"/>
      <c r="AK706" s="147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75" t="s">
        <v>334</v>
      </c>
      <c r="F707" s="1475"/>
      <c r="G707" s="1475"/>
      <c r="H707" s="1475"/>
      <c r="I707" s="1475"/>
      <c r="J707" s="1475"/>
      <c r="K707" s="1475"/>
      <c r="L707" s="1475"/>
      <c r="M707" s="1475"/>
      <c r="N707" s="1475"/>
      <c r="O707" s="1475"/>
      <c r="P707" s="1475"/>
      <c r="Q707" s="1475"/>
      <c r="R707" s="1475"/>
      <c r="S707" s="1475"/>
      <c r="T707" s="1475"/>
      <c r="U707" s="1475"/>
      <c r="V707" s="1475"/>
      <c r="W707" s="1475"/>
      <c r="X707" s="1475"/>
      <c r="Y707" s="1475"/>
      <c r="Z707" s="1475"/>
      <c r="AA707" s="1475"/>
      <c r="AB707" s="1475"/>
      <c r="AC707" s="1475"/>
      <c r="AD707" s="1475"/>
      <c r="AE707" s="1475"/>
      <c r="AF707" s="1475"/>
      <c r="AG707" s="1475"/>
      <c r="AH707" s="1475"/>
      <c r="AI707" s="1475"/>
      <c r="AJ707" s="1475"/>
      <c r="AK707" s="147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7" t="s">
        <v>389</v>
      </c>
      <c r="C714" s="1499"/>
      <c r="D714" s="1499"/>
      <c r="E714" s="1499"/>
      <c r="F714" s="1500"/>
      <c r="G714" s="1507" t="s">
        <v>285</v>
      </c>
      <c r="H714" s="1499"/>
      <c r="I714" s="1499"/>
      <c r="J714" s="1500"/>
      <c r="K714" s="1759" t="s">
        <v>1868</v>
      </c>
      <c r="L714" s="1760"/>
      <c r="M714" s="1760"/>
      <c r="N714" s="1761"/>
      <c r="O714" s="1507" t="s">
        <v>455</v>
      </c>
      <c r="P714" s="1499"/>
      <c r="Q714" s="1499"/>
      <c r="R714" s="1499"/>
      <c r="S714" s="1500"/>
      <c r="T714" s="1498" t="s">
        <v>2252</v>
      </c>
      <c r="U714" s="1499"/>
      <c r="V714" s="1499"/>
      <c r="W714" s="1500"/>
      <c r="X714" s="1498" t="s">
        <v>2254</v>
      </c>
      <c r="Y714" s="1499"/>
      <c r="Z714" s="1499"/>
      <c r="AA714" s="1499"/>
      <c r="AB714" s="1500"/>
      <c r="AC714" s="1498" t="s">
        <v>2253</v>
      </c>
      <c r="AD714" s="1499"/>
      <c r="AE714" s="1499"/>
      <c r="AF714" s="1499"/>
      <c r="AG714" s="1500"/>
      <c r="AH714" s="1498" t="s">
        <v>2255</v>
      </c>
      <c r="AI714" s="1499"/>
      <c r="AJ714" s="1500"/>
      <c r="AK714" s="1498" t="s">
        <v>2289</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501"/>
      <c r="C715" s="1502"/>
      <c r="D715" s="1502"/>
      <c r="E715" s="1502"/>
      <c r="F715" s="1503"/>
      <c r="G715" s="1501"/>
      <c r="H715" s="1502"/>
      <c r="I715" s="1502"/>
      <c r="J715" s="1503"/>
      <c r="K715" s="1762"/>
      <c r="L715" s="1763"/>
      <c r="M715" s="1763"/>
      <c r="N715" s="1764"/>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01"/>
      <c r="C716" s="1502"/>
      <c r="D716" s="1502"/>
      <c r="E716" s="1502"/>
      <c r="F716" s="1503"/>
      <c r="G716" s="1501"/>
      <c r="H716" s="1502"/>
      <c r="I716" s="1502"/>
      <c r="J716" s="1503"/>
      <c r="K716" s="1762"/>
      <c r="L716" s="1763"/>
      <c r="M716" s="1763"/>
      <c r="N716" s="1764"/>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504"/>
      <c r="C717" s="1505"/>
      <c r="D717" s="1505"/>
      <c r="E717" s="1505"/>
      <c r="F717" s="1506"/>
      <c r="G717" s="1504"/>
      <c r="H717" s="1505"/>
      <c r="I717" s="1505"/>
      <c r="J717" s="1506"/>
      <c r="K717" s="1762"/>
      <c r="L717" s="1763"/>
      <c r="M717" s="1763"/>
      <c r="N717" s="1764"/>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4" t="s">
        <v>325</v>
      </c>
      <c r="C718" s="1365"/>
      <c r="D718" s="1365"/>
      <c r="E718" s="1365"/>
      <c r="F718" s="1366"/>
      <c r="G718" s="1447">
        <v>5</v>
      </c>
      <c r="H718" s="1448"/>
      <c r="I718" s="1448"/>
      <c r="J718" s="1449"/>
      <c r="K718" s="1420">
        <v>540</v>
      </c>
      <c r="L718" s="1421"/>
      <c r="M718" s="1421"/>
      <c r="N718" s="1422"/>
      <c r="O718" s="1409">
        <v>665</v>
      </c>
      <c r="P718" s="1410"/>
      <c r="Q718" s="1410"/>
      <c r="R718" s="1410"/>
      <c r="S718" s="1411"/>
      <c r="T718" s="1409">
        <v>44</v>
      </c>
      <c r="U718" s="1410"/>
      <c r="V718" s="1410"/>
      <c r="W718" s="1411"/>
      <c r="X718" s="1513">
        <f t="shared" ref="X718:X741" si="61">O718+T718</f>
        <v>709</v>
      </c>
      <c r="Y718" s="1514"/>
      <c r="Z718" s="1514"/>
      <c r="AA718" s="1514"/>
      <c r="AB718" s="1515"/>
      <c r="AC718" s="1423">
        <v>0.3</v>
      </c>
      <c r="AD718" s="1424"/>
      <c r="AE718" s="1424"/>
      <c r="AF718" s="1424"/>
      <c r="AG718" s="1425"/>
      <c r="AH718" s="1509">
        <f t="shared" ref="AH718:AH751" si="62">IF($AC718&gt;0,($X718/$BA667), "")</f>
        <v>0.29991539763113367</v>
      </c>
      <c r="AI718" s="1510"/>
      <c r="AJ718" s="1511"/>
      <c r="AK718" s="1364" t="s">
        <v>599</v>
      </c>
      <c r="AL718" s="1365"/>
      <c r="AM718" s="1365"/>
      <c r="AN718" s="1365"/>
      <c r="AO718" s="136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4" t="s">
        <v>163</v>
      </c>
      <c r="C719" s="1365"/>
      <c r="D719" s="1365"/>
      <c r="E719" s="1365"/>
      <c r="F719" s="1366"/>
      <c r="G719" s="1447">
        <v>3</v>
      </c>
      <c r="H719" s="1448"/>
      <c r="I719" s="1448"/>
      <c r="J719" s="1449"/>
      <c r="K719" s="1420">
        <v>850</v>
      </c>
      <c r="L719" s="1421"/>
      <c r="M719" s="1421"/>
      <c r="N719" s="1422"/>
      <c r="O719" s="1409">
        <v>796</v>
      </c>
      <c r="P719" s="1410"/>
      <c r="Q719" s="1410"/>
      <c r="R719" s="1410"/>
      <c r="S719" s="1411"/>
      <c r="T719" s="1409">
        <v>55</v>
      </c>
      <c r="U719" s="1410"/>
      <c r="V719" s="1410"/>
      <c r="W719" s="1411"/>
      <c r="X719" s="1513">
        <f t="shared" si="61"/>
        <v>851</v>
      </c>
      <c r="Y719" s="1514"/>
      <c r="Z719" s="1514"/>
      <c r="AA719" s="1514"/>
      <c r="AB719" s="1515"/>
      <c r="AC719" s="1423">
        <v>0.3</v>
      </c>
      <c r="AD719" s="1424"/>
      <c r="AE719" s="1424"/>
      <c r="AF719" s="1424"/>
      <c r="AG719" s="1425"/>
      <c r="AH719" s="1509">
        <f t="shared" si="62"/>
        <v>0.30007052186177713</v>
      </c>
      <c r="AI719" s="1510"/>
      <c r="AJ719" s="1511"/>
      <c r="AK719" s="1364" t="s">
        <v>599</v>
      </c>
      <c r="AL719" s="1365"/>
      <c r="AM719" s="1365"/>
      <c r="AN719" s="1365"/>
      <c r="AO719" s="136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4" t="s">
        <v>164</v>
      </c>
      <c r="C720" s="1365"/>
      <c r="D720" s="1365"/>
      <c r="E720" s="1365"/>
      <c r="F720" s="1366"/>
      <c r="G720" s="1447">
        <v>3</v>
      </c>
      <c r="H720" s="1448"/>
      <c r="I720" s="1448"/>
      <c r="J720" s="1449"/>
      <c r="K720" s="1420">
        <v>1100</v>
      </c>
      <c r="L720" s="1421"/>
      <c r="M720" s="1421"/>
      <c r="N720" s="1422"/>
      <c r="O720" s="1409">
        <v>914</v>
      </c>
      <c r="P720" s="1410"/>
      <c r="Q720" s="1410"/>
      <c r="R720" s="1410"/>
      <c r="S720" s="1411"/>
      <c r="T720" s="1409">
        <v>69</v>
      </c>
      <c r="U720" s="1410"/>
      <c r="V720" s="1410"/>
      <c r="W720" s="1411"/>
      <c r="X720" s="1513">
        <f t="shared" si="61"/>
        <v>983</v>
      </c>
      <c r="Y720" s="1514"/>
      <c r="Z720" s="1514"/>
      <c r="AA720" s="1514"/>
      <c r="AB720" s="1515"/>
      <c r="AC720" s="1423">
        <v>0.3</v>
      </c>
      <c r="AD720" s="1424"/>
      <c r="AE720" s="1424"/>
      <c r="AF720" s="1424"/>
      <c r="AG720" s="1425"/>
      <c r="AH720" s="1509">
        <f t="shared" si="62"/>
        <v>0.29987797437461866</v>
      </c>
      <c r="AI720" s="1510"/>
      <c r="AJ720" s="1511"/>
      <c r="AK720" s="1364" t="s">
        <v>599</v>
      </c>
      <c r="AL720" s="1365"/>
      <c r="AM720" s="1365"/>
      <c r="AN720" s="1365"/>
      <c r="AO720" s="136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4" t="s">
        <v>325</v>
      </c>
      <c r="C721" s="1365"/>
      <c r="D721" s="1365"/>
      <c r="E721" s="1365"/>
      <c r="F721" s="1366"/>
      <c r="G721" s="1447">
        <v>7</v>
      </c>
      <c r="H721" s="1448"/>
      <c r="I721" s="1448"/>
      <c r="J721" s="1449"/>
      <c r="K721" s="1420">
        <v>540</v>
      </c>
      <c r="L721" s="1421"/>
      <c r="M721" s="1421"/>
      <c r="N721" s="1422"/>
      <c r="O721" s="1409">
        <v>1138</v>
      </c>
      <c r="P721" s="1410"/>
      <c r="Q721" s="1410"/>
      <c r="R721" s="1410"/>
      <c r="S721" s="1411"/>
      <c r="T721" s="1409">
        <v>44</v>
      </c>
      <c r="U721" s="1410"/>
      <c r="V721" s="1410"/>
      <c r="W721" s="1411"/>
      <c r="X721" s="1513">
        <f t="shared" si="61"/>
        <v>1182</v>
      </c>
      <c r="Y721" s="1514"/>
      <c r="Z721" s="1514"/>
      <c r="AA721" s="1514"/>
      <c r="AB721" s="1515"/>
      <c r="AC721" s="1423">
        <v>0.5</v>
      </c>
      <c r="AD721" s="1424"/>
      <c r="AE721" s="1424"/>
      <c r="AF721" s="1424"/>
      <c r="AG721" s="1425"/>
      <c r="AH721" s="1509">
        <f t="shared" si="62"/>
        <v>0.5</v>
      </c>
      <c r="AI721" s="1510"/>
      <c r="AJ721" s="1511"/>
      <c r="AK721" s="1364" t="s">
        <v>599</v>
      </c>
      <c r="AL721" s="1365"/>
      <c r="AM721" s="1365"/>
      <c r="AN721" s="1365"/>
      <c r="AO721" s="1366"/>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4" t="s">
        <v>163</v>
      </c>
      <c r="C722" s="1365"/>
      <c r="D722" s="1365"/>
      <c r="E722" s="1365"/>
      <c r="F722" s="1366"/>
      <c r="G722" s="1447">
        <v>5</v>
      </c>
      <c r="H722" s="1448"/>
      <c r="I722" s="1448"/>
      <c r="J722" s="1449"/>
      <c r="K722" s="1420">
        <v>850</v>
      </c>
      <c r="L722" s="1421"/>
      <c r="M722" s="1421"/>
      <c r="N722" s="1422"/>
      <c r="O722" s="1409">
        <v>1363</v>
      </c>
      <c r="P722" s="1410"/>
      <c r="Q722" s="1410"/>
      <c r="R722" s="1410"/>
      <c r="S722" s="1411"/>
      <c r="T722" s="1409">
        <v>55</v>
      </c>
      <c r="U722" s="1410"/>
      <c r="V722" s="1410"/>
      <c r="W722" s="1411"/>
      <c r="X722" s="1513">
        <f t="shared" si="61"/>
        <v>1418</v>
      </c>
      <c r="Y722" s="1514"/>
      <c r="Z722" s="1514"/>
      <c r="AA722" s="1514"/>
      <c r="AB722" s="1515"/>
      <c r="AC722" s="1423">
        <v>0.5</v>
      </c>
      <c r="AD722" s="1424"/>
      <c r="AE722" s="1424"/>
      <c r="AF722" s="1424"/>
      <c r="AG722" s="1425"/>
      <c r="AH722" s="1509">
        <f t="shared" si="62"/>
        <v>0.5</v>
      </c>
      <c r="AI722" s="1510"/>
      <c r="AJ722" s="1511"/>
      <c r="AK722" s="1364" t="s">
        <v>599</v>
      </c>
      <c r="AL722" s="1365"/>
      <c r="AM722" s="1365"/>
      <c r="AN722" s="1365"/>
      <c r="AO722" s="1366"/>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4" t="s">
        <v>164</v>
      </c>
      <c r="C723" s="1365"/>
      <c r="D723" s="1365"/>
      <c r="E723" s="1365"/>
      <c r="F723" s="1366"/>
      <c r="G723" s="1447">
        <v>3</v>
      </c>
      <c r="H723" s="1448"/>
      <c r="I723" s="1448"/>
      <c r="J723" s="1449"/>
      <c r="K723" s="1420">
        <v>1100</v>
      </c>
      <c r="L723" s="1421"/>
      <c r="M723" s="1421"/>
      <c r="N723" s="1422"/>
      <c r="O723" s="1409">
        <v>1570</v>
      </c>
      <c r="P723" s="1410"/>
      <c r="Q723" s="1410"/>
      <c r="R723" s="1410"/>
      <c r="S723" s="1411"/>
      <c r="T723" s="1409">
        <v>69</v>
      </c>
      <c r="U723" s="1410"/>
      <c r="V723" s="1410"/>
      <c r="W723" s="1411"/>
      <c r="X723" s="1513">
        <f t="shared" si="61"/>
        <v>1639</v>
      </c>
      <c r="Y723" s="1514"/>
      <c r="Z723" s="1514"/>
      <c r="AA723" s="1514"/>
      <c r="AB723" s="1515"/>
      <c r="AC723" s="1423">
        <v>0.5</v>
      </c>
      <c r="AD723" s="1424"/>
      <c r="AE723" s="1424"/>
      <c r="AF723" s="1424"/>
      <c r="AG723" s="1425"/>
      <c r="AH723" s="1509">
        <f t="shared" si="62"/>
        <v>0.5</v>
      </c>
      <c r="AI723" s="1510"/>
      <c r="AJ723" s="1511"/>
      <c r="AK723" s="1364" t="s">
        <v>599</v>
      </c>
      <c r="AL723" s="1365"/>
      <c r="AM723" s="1365"/>
      <c r="AN723" s="1365"/>
      <c r="AO723" s="1366"/>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4" t="s">
        <v>325</v>
      </c>
      <c r="C724" s="1365"/>
      <c r="D724" s="1365"/>
      <c r="E724" s="1365"/>
      <c r="F724" s="1366"/>
      <c r="G724" s="1447">
        <v>11</v>
      </c>
      <c r="H724" s="1448"/>
      <c r="I724" s="1448"/>
      <c r="J724" s="1449"/>
      <c r="K724" s="1420">
        <v>540</v>
      </c>
      <c r="L724" s="1421"/>
      <c r="M724" s="1421"/>
      <c r="N724" s="1422"/>
      <c r="O724" s="1409">
        <v>1375</v>
      </c>
      <c r="P724" s="1410"/>
      <c r="Q724" s="1410"/>
      <c r="R724" s="1410"/>
      <c r="S724" s="1411"/>
      <c r="T724" s="1409">
        <v>44</v>
      </c>
      <c r="U724" s="1410"/>
      <c r="V724" s="1410"/>
      <c r="W724" s="1411"/>
      <c r="X724" s="1513">
        <f t="shared" si="61"/>
        <v>1419</v>
      </c>
      <c r="Y724" s="1514"/>
      <c r="Z724" s="1514"/>
      <c r="AA724" s="1514"/>
      <c r="AB724" s="1515"/>
      <c r="AC724" s="1423">
        <v>0.6</v>
      </c>
      <c r="AD724" s="1424"/>
      <c r="AE724" s="1424"/>
      <c r="AF724" s="1424"/>
      <c r="AG724" s="1425"/>
      <c r="AH724" s="1509">
        <f t="shared" si="62"/>
        <v>0.60025380710659904</v>
      </c>
      <c r="AI724" s="1510"/>
      <c r="AJ724" s="1511"/>
      <c r="AK724" s="1364" t="s">
        <v>599</v>
      </c>
      <c r="AL724" s="1365"/>
      <c r="AM724" s="1365"/>
      <c r="AN724" s="1365"/>
      <c r="AO724" s="1366"/>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4" t="s">
        <v>163</v>
      </c>
      <c r="C725" s="1365"/>
      <c r="D725" s="1365"/>
      <c r="E725" s="1365"/>
      <c r="F725" s="1366"/>
      <c r="G725" s="1447">
        <v>5</v>
      </c>
      <c r="H725" s="1448"/>
      <c r="I725" s="1448"/>
      <c r="J725" s="1449"/>
      <c r="K725" s="1420">
        <v>850</v>
      </c>
      <c r="L725" s="1421"/>
      <c r="M725" s="1421"/>
      <c r="N725" s="1422"/>
      <c r="O725" s="1409">
        <v>1647</v>
      </c>
      <c r="P725" s="1410"/>
      <c r="Q725" s="1410"/>
      <c r="R725" s="1410"/>
      <c r="S725" s="1411"/>
      <c r="T725" s="1409">
        <v>55</v>
      </c>
      <c r="U725" s="1410"/>
      <c r="V725" s="1410"/>
      <c r="W725" s="1411"/>
      <c r="X725" s="1513">
        <f t="shared" si="61"/>
        <v>1702</v>
      </c>
      <c r="Y725" s="1514"/>
      <c r="Z725" s="1514"/>
      <c r="AA725" s="1514"/>
      <c r="AB725" s="1515"/>
      <c r="AC725" s="1423">
        <v>0.6</v>
      </c>
      <c r="AD725" s="1424"/>
      <c r="AE725" s="1424"/>
      <c r="AF725" s="1424"/>
      <c r="AG725" s="1425"/>
      <c r="AH725" s="1509">
        <f t="shared" si="62"/>
        <v>0.60014104372355426</v>
      </c>
      <c r="AI725" s="1510"/>
      <c r="AJ725" s="1511"/>
      <c r="AK725" s="1364" t="s">
        <v>599</v>
      </c>
      <c r="AL725" s="1365"/>
      <c r="AM725" s="1365"/>
      <c r="AN725" s="1365"/>
      <c r="AO725" s="1366"/>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4" t="s">
        <v>164</v>
      </c>
      <c r="C726" s="1365"/>
      <c r="D726" s="1365"/>
      <c r="E726" s="1365"/>
      <c r="F726" s="1366"/>
      <c r="G726" s="1447">
        <v>6</v>
      </c>
      <c r="H726" s="1448"/>
      <c r="I726" s="1448"/>
      <c r="J726" s="1449"/>
      <c r="K726" s="1420">
        <v>1100</v>
      </c>
      <c r="L726" s="1421"/>
      <c r="M726" s="1421"/>
      <c r="N726" s="1422"/>
      <c r="O726" s="1409">
        <v>1898</v>
      </c>
      <c r="P726" s="1410"/>
      <c r="Q726" s="1410"/>
      <c r="R726" s="1410"/>
      <c r="S726" s="1411"/>
      <c r="T726" s="1409">
        <v>69</v>
      </c>
      <c r="U726" s="1410"/>
      <c r="V726" s="1410"/>
      <c r="W726" s="1411"/>
      <c r="X726" s="1513">
        <f t="shared" si="61"/>
        <v>1967</v>
      </c>
      <c r="Y726" s="1514"/>
      <c r="Z726" s="1514"/>
      <c r="AA726" s="1514"/>
      <c r="AB726" s="1515"/>
      <c r="AC726" s="1423">
        <v>0.6</v>
      </c>
      <c r="AD726" s="1424"/>
      <c r="AE726" s="1424"/>
      <c r="AF726" s="1424"/>
      <c r="AG726" s="1425"/>
      <c r="AH726" s="1509">
        <f t="shared" si="62"/>
        <v>0.60006101281269064</v>
      </c>
      <c r="AI726" s="1510"/>
      <c r="AJ726" s="1511"/>
      <c r="AK726" s="1364" t="s">
        <v>599</v>
      </c>
      <c r="AL726" s="1365"/>
      <c r="AM726" s="1365"/>
      <c r="AN726" s="1365"/>
      <c r="AO726" s="1366"/>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4" t="s">
        <v>325</v>
      </c>
      <c r="C727" s="1365"/>
      <c r="D727" s="1365"/>
      <c r="E727" s="1365"/>
      <c r="F727" s="1366"/>
      <c r="G727" s="1447">
        <v>8</v>
      </c>
      <c r="H727" s="1448"/>
      <c r="I727" s="1448"/>
      <c r="J727" s="1449"/>
      <c r="K727" s="1420">
        <v>540</v>
      </c>
      <c r="L727" s="1421"/>
      <c r="M727" s="1421"/>
      <c r="N727" s="1422"/>
      <c r="O727" s="1409">
        <v>1611</v>
      </c>
      <c r="P727" s="1410"/>
      <c r="Q727" s="1410"/>
      <c r="R727" s="1410"/>
      <c r="S727" s="1411"/>
      <c r="T727" s="1409">
        <v>44</v>
      </c>
      <c r="U727" s="1410"/>
      <c r="V727" s="1410"/>
      <c r="W727" s="1411"/>
      <c r="X727" s="1513">
        <f t="shared" si="61"/>
        <v>1655</v>
      </c>
      <c r="Y727" s="1514"/>
      <c r="Z727" s="1514"/>
      <c r="AA727" s="1514"/>
      <c r="AB727" s="1515"/>
      <c r="AC727" s="1423">
        <v>0.7</v>
      </c>
      <c r="AD727" s="1424"/>
      <c r="AE727" s="1424"/>
      <c r="AF727" s="1424"/>
      <c r="AG727" s="1425"/>
      <c r="AH727" s="1509">
        <f t="shared" si="62"/>
        <v>0.70008460236886638</v>
      </c>
      <c r="AI727" s="1510"/>
      <c r="AJ727" s="1511"/>
      <c r="AK727" s="1364" t="s">
        <v>599</v>
      </c>
      <c r="AL727" s="1365"/>
      <c r="AM727" s="1365"/>
      <c r="AN727" s="1365"/>
      <c r="AO727" s="1366"/>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4" t="s">
        <v>163</v>
      </c>
      <c r="C728" s="1365"/>
      <c r="D728" s="1365"/>
      <c r="E728" s="1365"/>
      <c r="F728" s="1366"/>
      <c r="G728" s="1447">
        <v>5</v>
      </c>
      <c r="H728" s="1448"/>
      <c r="I728" s="1448"/>
      <c r="J728" s="1449"/>
      <c r="K728" s="1420">
        <v>850</v>
      </c>
      <c r="L728" s="1421"/>
      <c r="M728" s="1421"/>
      <c r="N728" s="1422"/>
      <c r="O728" s="1409">
        <v>1931</v>
      </c>
      <c r="P728" s="1410"/>
      <c r="Q728" s="1410"/>
      <c r="R728" s="1410"/>
      <c r="S728" s="1411"/>
      <c r="T728" s="1409">
        <v>55</v>
      </c>
      <c r="U728" s="1410"/>
      <c r="V728" s="1410"/>
      <c r="W728" s="1411"/>
      <c r="X728" s="1513">
        <f t="shared" si="61"/>
        <v>1986</v>
      </c>
      <c r="Y728" s="1514"/>
      <c r="Z728" s="1514"/>
      <c r="AA728" s="1514"/>
      <c r="AB728" s="1515"/>
      <c r="AC728" s="1423">
        <v>0.7</v>
      </c>
      <c r="AD728" s="1424"/>
      <c r="AE728" s="1424"/>
      <c r="AF728" s="1424"/>
      <c r="AG728" s="1425"/>
      <c r="AH728" s="1509">
        <f t="shared" si="62"/>
        <v>0.70028208744710863</v>
      </c>
      <c r="AI728" s="1510"/>
      <c r="AJ728" s="1511"/>
      <c r="AK728" s="1364" t="s">
        <v>599</v>
      </c>
      <c r="AL728" s="1365"/>
      <c r="AM728" s="1365"/>
      <c r="AN728" s="1365"/>
      <c r="AO728" s="1366"/>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4" t="s">
        <v>164</v>
      </c>
      <c r="C729" s="1365"/>
      <c r="D729" s="1365"/>
      <c r="E729" s="1365"/>
      <c r="F729" s="1366"/>
      <c r="G729" s="1447">
        <v>5</v>
      </c>
      <c r="H729" s="1448"/>
      <c r="I729" s="1448"/>
      <c r="J729" s="1449"/>
      <c r="K729" s="1420">
        <v>1100</v>
      </c>
      <c r="L729" s="1421"/>
      <c r="M729" s="1421"/>
      <c r="N729" s="1422"/>
      <c r="O729" s="1409">
        <v>2226</v>
      </c>
      <c r="P729" s="1410"/>
      <c r="Q729" s="1410"/>
      <c r="R729" s="1410"/>
      <c r="S729" s="1411"/>
      <c r="T729" s="1409">
        <v>69</v>
      </c>
      <c r="U729" s="1410"/>
      <c r="V729" s="1410"/>
      <c r="W729" s="1411"/>
      <c r="X729" s="1513">
        <f t="shared" si="61"/>
        <v>2295</v>
      </c>
      <c r="Y729" s="1514"/>
      <c r="Z729" s="1514"/>
      <c r="AA729" s="1514"/>
      <c r="AB729" s="1515"/>
      <c r="AC729" s="1423">
        <v>0.7</v>
      </c>
      <c r="AD729" s="1424"/>
      <c r="AE729" s="1424"/>
      <c r="AF729" s="1424"/>
      <c r="AG729" s="1425"/>
      <c r="AH729" s="1509">
        <f t="shared" si="62"/>
        <v>0.70012202562538128</v>
      </c>
      <c r="AI729" s="1510"/>
      <c r="AJ729" s="1511"/>
      <c r="AK729" s="1364" t="s">
        <v>599</v>
      </c>
      <c r="AL729" s="1365"/>
      <c r="AM729" s="1365"/>
      <c r="AN729" s="1365"/>
      <c r="AO729" s="1366"/>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4" t="s">
        <v>325</v>
      </c>
      <c r="C730" s="1365"/>
      <c r="D730" s="1365"/>
      <c r="E730" s="1365"/>
      <c r="F730" s="1366"/>
      <c r="G730" s="1447">
        <v>8</v>
      </c>
      <c r="H730" s="1448"/>
      <c r="I730" s="1448"/>
      <c r="J730" s="1449"/>
      <c r="K730" s="1420">
        <v>540</v>
      </c>
      <c r="L730" s="1421"/>
      <c r="M730" s="1421"/>
      <c r="N730" s="1422"/>
      <c r="O730" s="1409">
        <v>1848</v>
      </c>
      <c r="P730" s="1410"/>
      <c r="Q730" s="1410"/>
      <c r="R730" s="1410"/>
      <c r="S730" s="1411"/>
      <c r="T730" s="1409">
        <v>44</v>
      </c>
      <c r="U730" s="1410"/>
      <c r="V730" s="1410"/>
      <c r="W730" s="1411"/>
      <c r="X730" s="1513">
        <f t="shared" si="61"/>
        <v>1892</v>
      </c>
      <c r="Y730" s="1514"/>
      <c r="Z730" s="1514"/>
      <c r="AA730" s="1514"/>
      <c r="AB730" s="1515"/>
      <c r="AC730" s="1423">
        <v>0.8</v>
      </c>
      <c r="AD730" s="1424"/>
      <c r="AE730" s="1424"/>
      <c r="AF730" s="1424"/>
      <c r="AG730" s="1425"/>
      <c r="AH730" s="1509">
        <f t="shared" si="62"/>
        <v>0.80033840947546531</v>
      </c>
      <c r="AI730" s="1510"/>
      <c r="AJ730" s="1511"/>
      <c r="AK730" s="1364" t="s">
        <v>599</v>
      </c>
      <c r="AL730" s="1365"/>
      <c r="AM730" s="1365"/>
      <c r="AN730" s="1365"/>
      <c r="AO730" s="1366"/>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4" t="s">
        <v>163</v>
      </c>
      <c r="C731" s="1365"/>
      <c r="D731" s="1365"/>
      <c r="E731" s="1365"/>
      <c r="F731" s="1366"/>
      <c r="G731" s="1447">
        <v>3</v>
      </c>
      <c r="H731" s="1448"/>
      <c r="I731" s="1448"/>
      <c r="J731" s="1449"/>
      <c r="K731" s="1420">
        <v>850</v>
      </c>
      <c r="L731" s="1421"/>
      <c r="M731" s="1421"/>
      <c r="N731" s="1422"/>
      <c r="O731" s="1409">
        <v>1931</v>
      </c>
      <c r="P731" s="1410"/>
      <c r="Q731" s="1410"/>
      <c r="R731" s="1410"/>
      <c r="S731" s="1411"/>
      <c r="T731" s="1409">
        <v>55</v>
      </c>
      <c r="U731" s="1410"/>
      <c r="V731" s="1410"/>
      <c r="W731" s="1411"/>
      <c r="X731" s="1513">
        <f t="shared" si="61"/>
        <v>1986</v>
      </c>
      <c r="Y731" s="1514"/>
      <c r="Z731" s="1514"/>
      <c r="AA731" s="1514"/>
      <c r="AB731" s="1515"/>
      <c r="AC731" s="1423">
        <v>0.8</v>
      </c>
      <c r="AD731" s="1424"/>
      <c r="AE731" s="1424"/>
      <c r="AF731" s="1424"/>
      <c r="AG731" s="1425"/>
      <c r="AH731" s="1509">
        <f t="shared" si="62"/>
        <v>0.70028208744710863</v>
      </c>
      <c r="AI731" s="1510"/>
      <c r="AJ731" s="1511"/>
      <c r="AK731" s="1364" t="s">
        <v>599</v>
      </c>
      <c r="AL731" s="1365"/>
      <c r="AM731" s="1365"/>
      <c r="AN731" s="1365"/>
      <c r="AO731" s="1366"/>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4" t="s">
        <v>164</v>
      </c>
      <c r="C732" s="1365"/>
      <c r="D732" s="1365"/>
      <c r="E732" s="1365"/>
      <c r="F732" s="1366"/>
      <c r="G732" s="1447">
        <v>4</v>
      </c>
      <c r="H732" s="1448"/>
      <c r="I732" s="1448"/>
      <c r="J732" s="1449"/>
      <c r="K732" s="1420">
        <v>1100</v>
      </c>
      <c r="L732" s="1421"/>
      <c r="M732" s="1421"/>
      <c r="N732" s="1422"/>
      <c r="O732" s="1409">
        <v>2553</v>
      </c>
      <c r="P732" s="1410"/>
      <c r="Q732" s="1410"/>
      <c r="R732" s="1410"/>
      <c r="S732" s="1411"/>
      <c r="T732" s="1409">
        <v>69</v>
      </c>
      <c r="U732" s="1410"/>
      <c r="V732" s="1410"/>
      <c r="W732" s="1411"/>
      <c r="X732" s="1513">
        <f t="shared" si="61"/>
        <v>2622</v>
      </c>
      <c r="Y732" s="1514"/>
      <c r="Z732" s="1514"/>
      <c r="AA732" s="1514"/>
      <c r="AB732" s="1515"/>
      <c r="AC732" s="1423">
        <v>0.8</v>
      </c>
      <c r="AD732" s="1424"/>
      <c r="AE732" s="1424"/>
      <c r="AF732" s="1424"/>
      <c r="AG732" s="1425"/>
      <c r="AH732" s="1509">
        <f t="shared" si="62"/>
        <v>0.79987797437461872</v>
      </c>
      <c r="AI732" s="1510"/>
      <c r="AJ732" s="1511"/>
      <c r="AK732" s="1364" t="s">
        <v>599</v>
      </c>
      <c r="AL732" s="1365"/>
      <c r="AM732" s="1365"/>
      <c r="AN732" s="1365"/>
      <c r="AO732" s="1366"/>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4"/>
      <c r="C733" s="1365"/>
      <c r="D733" s="1365"/>
      <c r="E733" s="1365"/>
      <c r="F733" s="1366"/>
      <c r="G733" s="1447"/>
      <c r="H733" s="1448"/>
      <c r="I733" s="1448"/>
      <c r="J733" s="1449"/>
      <c r="K733" s="1420"/>
      <c r="L733" s="1421"/>
      <c r="M733" s="1421"/>
      <c r="N733" s="1422"/>
      <c r="O733" s="1409"/>
      <c r="P733" s="1410"/>
      <c r="Q733" s="1410"/>
      <c r="R733" s="1410"/>
      <c r="S733" s="1411"/>
      <c r="T733" s="1409"/>
      <c r="U733" s="1410"/>
      <c r="V733" s="1410"/>
      <c r="W733" s="1411"/>
      <c r="X733" s="1513">
        <f t="shared" si="61"/>
        <v>0</v>
      </c>
      <c r="Y733" s="1514"/>
      <c r="Z733" s="1514"/>
      <c r="AA733" s="1514"/>
      <c r="AB733" s="1515"/>
      <c r="AC733" s="1423"/>
      <c r="AD733" s="1424"/>
      <c r="AE733" s="1424"/>
      <c r="AF733" s="1424"/>
      <c r="AG733" s="1425"/>
      <c r="AH733" s="1509" t="str">
        <f t="shared" si="62"/>
        <v/>
      </c>
      <c r="AI733" s="1510"/>
      <c r="AJ733" s="1511"/>
      <c r="AK733" s="1364" t="s">
        <v>599</v>
      </c>
      <c r="AL733" s="1365"/>
      <c r="AM733" s="1365"/>
      <c r="AN733" s="1365"/>
      <c r="AO733" s="1366"/>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4"/>
      <c r="C734" s="1365"/>
      <c r="D734" s="1365"/>
      <c r="E734" s="1365"/>
      <c r="F734" s="1366"/>
      <c r="G734" s="1447"/>
      <c r="H734" s="1448"/>
      <c r="I734" s="1448"/>
      <c r="J734" s="1449"/>
      <c r="K734" s="1420"/>
      <c r="L734" s="1421"/>
      <c r="M734" s="1421"/>
      <c r="N734" s="1422"/>
      <c r="O734" s="1409"/>
      <c r="P734" s="1410"/>
      <c r="Q734" s="1410"/>
      <c r="R734" s="1410"/>
      <c r="S734" s="1411"/>
      <c r="T734" s="1409"/>
      <c r="U734" s="1410"/>
      <c r="V734" s="1410"/>
      <c r="W734" s="1411"/>
      <c r="X734" s="1513">
        <f t="shared" si="61"/>
        <v>0</v>
      </c>
      <c r="Y734" s="1514"/>
      <c r="Z734" s="1514"/>
      <c r="AA734" s="1514"/>
      <c r="AB734" s="1515"/>
      <c r="AC734" s="1423"/>
      <c r="AD734" s="1424"/>
      <c r="AE734" s="1424"/>
      <c r="AF734" s="1424"/>
      <c r="AG734" s="1425"/>
      <c r="AH734" s="1509" t="str">
        <f t="shared" si="62"/>
        <v/>
      </c>
      <c r="AI734" s="1510"/>
      <c r="AJ734" s="1511"/>
      <c r="AK734" s="1364" t="s">
        <v>599</v>
      </c>
      <c r="AL734" s="1365"/>
      <c r="AM734" s="1365"/>
      <c r="AN734" s="1365"/>
      <c r="AO734" s="1366"/>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4"/>
      <c r="C735" s="1365"/>
      <c r="D735" s="1365"/>
      <c r="E735" s="1365"/>
      <c r="F735" s="1366"/>
      <c r="G735" s="1447"/>
      <c r="H735" s="1448"/>
      <c r="I735" s="1448"/>
      <c r="J735" s="1449"/>
      <c r="K735" s="1420"/>
      <c r="L735" s="1421"/>
      <c r="M735" s="1421"/>
      <c r="N735" s="1422"/>
      <c r="O735" s="1409"/>
      <c r="P735" s="1410"/>
      <c r="Q735" s="1410"/>
      <c r="R735" s="1410"/>
      <c r="S735" s="1411"/>
      <c r="T735" s="1409"/>
      <c r="U735" s="1410"/>
      <c r="V735" s="1410"/>
      <c r="W735" s="1411"/>
      <c r="X735" s="1513">
        <f t="shared" si="61"/>
        <v>0</v>
      </c>
      <c r="Y735" s="1514"/>
      <c r="Z735" s="1514"/>
      <c r="AA735" s="1514"/>
      <c r="AB735" s="1515"/>
      <c r="AC735" s="1423"/>
      <c r="AD735" s="1424"/>
      <c r="AE735" s="1424"/>
      <c r="AF735" s="1424"/>
      <c r="AG735" s="1425"/>
      <c r="AH735" s="1509" t="str">
        <f t="shared" si="62"/>
        <v/>
      </c>
      <c r="AI735" s="1510"/>
      <c r="AJ735" s="1511"/>
      <c r="AK735" s="1364" t="s">
        <v>599</v>
      </c>
      <c r="AL735" s="1365"/>
      <c r="AM735" s="1365"/>
      <c r="AN735" s="1365"/>
      <c r="AO735" s="1366"/>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4"/>
      <c r="C736" s="1365"/>
      <c r="D736" s="1365"/>
      <c r="E736" s="1365"/>
      <c r="F736" s="1366"/>
      <c r="G736" s="1447"/>
      <c r="H736" s="1448"/>
      <c r="I736" s="1448"/>
      <c r="J736" s="1449"/>
      <c r="K736" s="1420"/>
      <c r="L736" s="1421"/>
      <c r="M736" s="1421"/>
      <c r="N736" s="1422"/>
      <c r="O736" s="1409"/>
      <c r="P736" s="1410"/>
      <c r="Q736" s="1410"/>
      <c r="R736" s="1410"/>
      <c r="S736" s="1411"/>
      <c r="T736" s="1409"/>
      <c r="U736" s="1410"/>
      <c r="V736" s="1410"/>
      <c r="W736" s="1411"/>
      <c r="X736" s="1513">
        <f t="shared" si="61"/>
        <v>0</v>
      </c>
      <c r="Y736" s="1514"/>
      <c r="Z736" s="1514"/>
      <c r="AA736" s="1514"/>
      <c r="AB736" s="1515"/>
      <c r="AC736" s="1423"/>
      <c r="AD736" s="1424"/>
      <c r="AE736" s="1424"/>
      <c r="AF736" s="1424"/>
      <c r="AG736" s="1425"/>
      <c r="AH736" s="1509" t="str">
        <f t="shared" si="62"/>
        <v/>
      </c>
      <c r="AI736" s="1510"/>
      <c r="AJ736" s="1511"/>
      <c r="AK736" s="1364" t="s">
        <v>599</v>
      </c>
      <c r="AL736" s="1365"/>
      <c r="AM736" s="1365"/>
      <c r="AN736" s="1365"/>
      <c r="AO736" s="1366"/>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4"/>
      <c r="C737" s="1365"/>
      <c r="D737" s="1365"/>
      <c r="E737" s="1365"/>
      <c r="F737" s="1366"/>
      <c r="G737" s="1447"/>
      <c r="H737" s="1448"/>
      <c r="I737" s="1448"/>
      <c r="J737" s="1449"/>
      <c r="K737" s="1420"/>
      <c r="L737" s="1421"/>
      <c r="M737" s="1421"/>
      <c r="N737" s="1422"/>
      <c r="O737" s="1409"/>
      <c r="P737" s="1410"/>
      <c r="Q737" s="1410"/>
      <c r="R737" s="1410"/>
      <c r="S737" s="1411"/>
      <c r="T737" s="1409"/>
      <c r="U737" s="1410"/>
      <c r="V737" s="1410"/>
      <c r="W737" s="1411"/>
      <c r="X737" s="1513">
        <f t="shared" si="61"/>
        <v>0</v>
      </c>
      <c r="Y737" s="1514"/>
      <c r="Z737" s="1514"/>
      <c r="AA737" s="1514"/>
      <c r="AB737" s="1515"/>
      <c r="AC737" s="1423"/>
      <c r="AD737" s="1424"/>
      <c r="AE737" s="1424"/>
      <c r="AF737" s="1424"/>
      <c r="AG737" s="1425"/>
      <c r="AH737" s="1509" t="str">
        <f t="shared" si="62"/>
        <v/>
      </c>
      <c r="AI737" s="1510"/>
      <c r="AJ737" s="1511"/>
      <c r="AK737" s="1364" t="s">
        <v>599</v>
      </c>
      <c r="AL737" s="1365"/>
      <c r="AM737" s="1365"/>
      <c r="AN737" s="1365"/>
      <c r="AO737" s="1366"/>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4"/>
      <c r="C738" s="1365"/>
      <c r="D738" s="1365"/>
      <c r="E738" s="1365"/>
      <c r="F738" s="1366"/>
      <c r="G738" s="1447"/>
      <c r="H738" s="1448"/>
      <c r="I738" s="1448"/>
      <c r="J738" s="1449"/>
      <c r="K738" s="1420"/>
      <c r="L738" s="1421"/>
      <c r="M738" s="1421"/>
      <c r="N738" s="1422"/>
      <c r="O738" s="1409"/>
      <c r="P738" s="1410"/>
      <c r="Q738" s="1410"/>
      <c r="R738" s="1410"/>
      <c r="S738" s="1411"/>
      <c r="T738" s="1409"/>
      <c r="U738" s="1410"/>
      <c r="V738" s="1410"/>
      <c r="W738" s="1411"/>
      <c r="X738" s="1513">
        <f t="shared" si="61"/>
        <v>0</v>
      </c>
      <c r="Y738" s="1514"/>
      <c r="Z738" s="1514"/>
      <c r="AA738" s="1514"/>
      <c r="AB738" s="1515"/>
      <c r="AC738" s="1423"/>
      <c r="AD738" s="1424"/>
      <c r="AE738" s="1424"/>
      <c r="AF738" s="1424"/>
      <c r="AG738" s="1425"/>
      <c r="AH738" s="1509" t="str">
        <f t="shared" si="62"/>
        <v/>
      </c>
      <c r="AI738" s="1510"/>
      <c r="AJ738" s="1511"/>
      <c r="AK738" s="1364" t="s">
        <v>599</v>
      </c>
      <c r="AL738" s="1365"/>
      <c r="AM738" s="1365"/>
      <c r="AN738" s="1365"/>
      <c r="AO738" s="1366"/>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4"/>
      <c r="C739" s="1365"/>
      <c r="D739" s="1365"/>
      <c r="E739" s="1365"/>
      <c r="F739" s="1366"/>
      <c r="G739" s="1447"/>
      <c r="H739" s="1448"/>
      <c r="I739" s="1448"/>
      <c r="J739" s="1449"/>
      <c r="K739" s="1420"/>
      <c r="L739" s="1421"/>
      <c r="M739" s="1421"/>
      <c r="N739" s="1422"/>
      <c r="O739" s="1409"/>
      <c r="P739" s="1410"/>
      <c r="Q739" s="1410"/>
      <c r="R739" s="1410"/>
      <c r="S739" s="1411"/>
      <c r="T739" s="1409"/>
      <c r="U739" s="1410"/>
      <c r="V739" s="1410"/>
      <c r="W739" s="1411"/>
      <c r="X739" s="1513">
        <f t="shared" si="61"/>
        <v>0</v>
      </c>
      <c r="Y739" s="1514"/>
      <c r="Z739" s="1514"/>
      <c r="AA739" s="1514"/>
      <c r="AB739" s="1515"/>
      <c r="AC739" s="1423"/>
      <c r="AD739" s="1424"/>
      <c r="AE739" s="1424"/>
      <c r="AF739" s="1424"/>
      <c r="AG739" s="1425"/>
      <c r="AH739" s="1509" t="str">
        <f t="shared" si="62"/>
        <v/>
      </c>
      <c r="AI739" s="1510"/>
      <c r="AJ739" s="1511"/>
      <c r="AK739" s="1364" t="s">
        <v>599</v>
      </c>
      <c r="AL739" s="1365"/>
      <c r="AM739" s="1365"/>
      <c r="AN739" s="1365"/>
      <c r="AO739" s="1366"/>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4"/>
      <c r="C740" s="1365"/>
      <c r="D740" s="1365"/>
      <c r="E740" s="1365"/>
      <c r="F740" s="1366"/>
      <c r="G740" s="1447"/>
      <c r="H740" s="1448"/>
      <c r="I740" s="1448"/>
      <c r="J740" s="1449"/>
      <c r="K740" s="1420"/>
      <c r="L740" s="1421"/>
      <c r="M740" s="1421"/>
      <c r="N740" s="1422"/>
      <c r="O740" s="1409"/>
      <c r="P740" s="1410"/>
      <c r="Q740" s="1410"/>
      <c r="R740" s="1410"/>
      <c r="S740" s="1411"/>
      <c r="T740" s="1409"/>
      <c r="U740" s="1410"/>
      <c r="V740" s="1410"/>
      <c r="W740" s="1411"/>
      <c r="X740" s="1513">
        <f t="shared" si="61"/>
        <v>0</v>
      </c>
      <c r="Y740" s="1514"/>
      <c r="Z740" s="1514"/>
      <c r="AA740" s="1514"/>
      <c r="AB740" s="1515"/>
      <c r="AC740" s="1423"/>
      <c r="AD740" s="1424"/>
      <c r="AE740" s="1424"/>
      <c r="AF740" s="1424"/>
      <c r="AG740" s="1425"/>
      <c r="AH740" s="1509" t="str">
        <f t="shared" si="62"/>
        <v/>
      </c>
      <c r="AI740" s="1510"/>
      <c r="AJ740" s="1511"/>
      <c r="AK740" s="1364" t="s">
        <v>599</v>
      </c>
      <c r="AL740" s="1365"/>
      <c r="AM740" s="1365"/>
      <c r="AN740" s="1365"/>
      <c r="AO740" s="1366"/>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4"/>
      <c r="C741" s="1365"/>
      <c r="D741" s="1365"/>
      <c r="E741" s="1365"/>
      <c r="F741" s="1366"/>
      <c r="G741" s="1447"/>
      <c r="H741" s="1448"/>
      <c r="I741" s="1448"/>
      <c r="J741" s="1449"/>
      <c r="K741" s="1420"/>
      <c r="L741" s="1421"/>
      <c r="M741" s="1421"/>
      <c r="N741" s="1422"/>
      <c r="O741" s="1409"/>
      <c r="P741" s="1410"/>
      <c r="Q741" s="1410"/>
      <c r="R741" s="1410"/>
      <c r="S741" s="1411"/>
      <c r="T741" s="1409"/>
      <c r="U741" s="1410"/>
      <c r="V741" s="1410"/>
      <c r="W741" s="1411"/>
      <c r="X741" s="1513">
        <f t="shared" si="61"/>
        <v>0</v>
      </c>
      <c r="Y741" s="1514"/>
      <c r="Z741" s="1514"/>
      <c r="AA741" s="1514"/>
      <c r="AB741" s="1515"/>
      <c r="AC741" s="1423"/>
      <c r="AD741" s="1424"/>
      <c r="AE741" s="1424"/>
      <c r="AF741" s="1424"/>
      <c r="AG741" s="1425"/>
      <c r="AH741" s="1509" t="str">
        <f t="shared" si="62"/>
        <v/>
      </c>
      <c r="AI741" s="1510"/>
      <c r="AJ741" s="1511"/>
      <c r="AK741" s="1364" t="s">
        <v>599</v>
      </c>
      <c r="AL741" s="1365"/>
      <c r="AM741" s="1365"/>
      <c r="AN741" s="1365"/>
      <c r="AO741" s="1366"/>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4"/>
      <c r="C742" s="1365"/>
      <c r="D742" s="1365"/>
      <c r="E742" s="1365"/>
      <c r="F742" s="1366"/>
      <c r="G742" s="1447"/>
      <c r="H742" s="1448"/>
      <c r="I742" s="1448"/>
      <c r="J742" s="1449"/>
      <c r="K742" s="1420"/>
      <c r="L742" s="1421"/>
      <c r="M742" s="1421"/>
      <c r="N742" s="1422"/>
      <c r="O742" s="1409"/>
      <c r="P742" s="1410"/>
      <c r="Q742" s="1410"/>
      <c r="R742" s="1410"/>
      <c r="S742" s="1411"/>
      <c r="T742" s="1409"/>
      <c r="U742" s="1410"/>
      <c r="V742" s="1410"/>
      <c r="W742" s="1411"/>
      <c r="X742" s="1513">
        <f t="shared" ref="X742:X751" si="63">O742+T742</f>
        <v>0</v>
      </c>
      <c r="Y742" s="1514"/>
      <c r="Z742" s="1514"/>
      <c r="AA742" s="1514"/>
      <c r="AB742" s="1515"/>
      <c r="AC742" s="1423"/>
      <c r="AD742" s="1424"/>
      <c r="AE742" s="1424"/>
      <c r="AF742" s="1424"/>
      <c r="AG742" s="1425"/>
      <c r="AH742" s="1509" t="str">
        <f t="shared" si="62"/>
        <v/>
      </c>
      <c r="AI742" s="1510"/>
      <c r="AJ742" s="1511"/>
      <c r="AK742" s="1364" t="s">
        <v>599</v>
      </c>
      <c r="AL742" s="1365"/>
      <c r="AM742" s="1365"/>
      <c r="AN742" s="1365"/>
      <c r="AO742" s="1366"/>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4"/>
      <c r="C743" s="1365"/>
      <c r="D743" s="1365"/>
      <c r="E743" s="1365"/>
      <c r="F743" s="1366"/>
      <c r="G743" s="1447"/>
      <c r="H743" s="1448"/>
      <c r="I743" s="1448"/>
      <c r="J743" s="1449"/>
      <c r="K743" s="1420"/>
      <c r="L743" s="1421"/>
      <c r="M743" s="1421"/>
      <c r="N743" s="1422"/>
      <c r="O743" s="1409"/>
      <c r="P743" s="1410"/>
      <c r="Q743" s="1410"/>
      <c r="R743" s="1410"/>
      <c r="S743" s="1411"/>
      <c r="T743" s="1409"/>
      <c r="U743" s="1410"/>
      <c r="V743" s="1410"/>
      <c r="W743" s="1411"/>
      <c r="X743" s="1513">
        <f t="shared" si="63"/>
        <v>0</v>
      </c>
      <c r="Y743" s="1514"/>
      <c r="Z743" s="1514"/>
      <c r="AA743" s="1514"/>
      <c r="AB743" s="1515"/>
      <c r="AC743" s="1423"/>
      <c r="AD743" s="1424"/>
      <c r="AE743" s="1424"/>
      <c r="AF743" s="1424"/>
      <c r="AG743" s="1425"/>
      <c r="AH743" s="1509" t="str">
        <f t="shared" si="62"/>
        <v/>
      </c>
      <c r="AI743" s="1510"/>
      <c r="AJ743" s="1511"/>
      <c r="AK743" s="1364" t="s">
        <v>599</v>
      </c>
      <c r="AL743" s="1365"/>
      <c r="AM743" s="1365"/>
      <c r="AN743" s="1365"/>
      <c r="AO743" s="1366"/>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4"/>
      <c r="C744" s="1365"/>
      <c r="D744" s="1365"/>
      <c r="E744" s="1365"/>
      <c r="F744" s="1366"/>
      <c r="G744" s="1447"/>
      <c r="H744" s="1448"/>
      <c r="I744" s="1448"/>
      <c r="J744" s="1449"/>
      <c r="K744" s="1420"/>
      <c r="L744" s="1421"/>
      <c r="M744" s="1421"/>
      <c r="N744" s="1422"/>
      <c r="O744" s="1409"/>
      <c r="P744" s="1410"/>
      <c r="Q744" s="1410"/>
      <c r="R744" s="1410"/>
      <c r="S744" s="1411"/>
      <c r="T744" s="1409"/>
      <c r="U744" s="1410"/>
      <c r="V744" s="1410"/>
      <c r="W744" s="1411"/>
      <c r="X744" s="1513">
        <f t="shared" si="63"/>
        <v>0</v>
      </c>
      <c r="Y744" s="1514"/>
      <c r="Z744" s="1514"/>
      <c r="AA744" s="1514"/>
      <c r="AB744" s="1515"/>
      <c r="AC744" s="1423"/>
      <c r="AD744" s="1424"/>
      <c r="AE744" s="1424"/>
      <c r="AF744" s="1424"/>
      <c r="AG744" s="1425"/>
      <c r="AH744" s="1509" t="str">
        <f t="shared" si="62"/>
        <v/>
      </c>
      <c r="AI744" s="1510"/>
      <c r="AJ744" s="1511"/>
      <c r="AK744" s="1364" t="s">
        <v>599</v>
      </c>
      <c r="AL744" s="1365"/>
      <c r="AM744" s="1365"/>
      <c r="AN744" s="1365"/>
      <c r="AO744" s="1366"/>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4"/>
      <c r="C745" s="1365"/>
      <c r="D745" s="1365"/>
      <c r="E745" s="1365"/>
      <c r="F745" s="1366"/>
      <c r="G745" s="1447"/>
      <c r="H745" s="1448"/>
      <c r="I745" s="1448"/>
      <c r="J745" s="1449"/>
      <c r="K745" s="1420"/>
      <c r="L745" s="1421"/>
      <c r="M745" s="1421"/>
      <c r="N745" s="1422"/>
      <c r="O745" s="1409"/>
      <c r="P745" s="1410"/>
      <c r="Q745" s="1410"/>
      <c r="R745" s="1410"/>
      <c r="S745" s="1411"/>
      <c r="T745" s="1409"/>
      <c r="U745" s="1410"/>
      <c r="V745" s="1410"/>
      <c r="W745" s="1411"/>
      <c r="X745" s="1513">
        <f t="shared" si="63"/>
        <v>0</v>
      </c>
      <c r="Y745" s="1514"/>
      <c r="Z745" s="1514"/>
      <c r="AA745" s="1514"/>
      <c r="AB745" s="1515"/>
      <c r="AC745" s="1423"/>
      <c r="AD745" s="1424"/>
      <c r="AE745" s="1424"/>
      <c r="AF745" s="1424"/>
      <c r="AG745" s="1425"/>
      <c r="AH745" s="1509" t="str">
        <f t="shared" si="62"/>
        <v/>
      </c>
      <c r="AI745" s="1510"/>
      <c r="AJ745" s="1511"/>
      <c r="AK745" s="1364" t="s">
        <v>599</v>
      </c>
      <c r="AL745" s="1365"/>
      <c r="AM745" s="1365"/>
      <c r="AN745" s="1365"/>
      <c r="AO745" s="1366"/>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4"/>
      <c r="C746" s="1365"/>
      <c r="D746" s="1365"/>
      <c r="E746" s="1365"/>
      <c r="F746" s="1366"/>
      <c r="G746" s="1447"/>
      <c r="H746" s="1448"/>
      <c r="I746" s="1448"/>
      <c r="J746" s="1449"/>
      <c r="K746" s="1420"/>
      <c r="L746" s="1421"/>
      <c r="M746" s="1421"/>
      <c r="N746" s="1422"/>
      <c r="O746" s="1409"/>
      <c r="P746" s="1410"/>
      <c r="Q746" s="1410"/>
      <c r="R746" s="1410"/>
      <c r="S746" s="1411"/>
      <c r="T746" s="1409"/>
      <c r="U746" s="1410"/>
      <c r="V746" s="1410"/>
      <c r="W746" s="1411"/>
      <c r="X746" s="1513">
        <f t="shared" si="63"/>
        <v>0</v>
      </c>
      <c r="Y746" s="1514"/>
      <c r="Z746" s="1514"/>
      <c r="AA746" s="1514"/>
      <c r="AB746" s="1515"/>
      <c r="AC746" s="1423"/>
      <c r="AD746" s="1424"/>
      <c r="AE746" s="1424"/>
      <c r="AF746" s="1424"/>
      <c r="AG746" s="1425"/>
      <c r="AH746" s="1509" t="str">
        <f t="shared" si="62"/>
        <v/>
      </c>
      <c r="AI746" s="1510"/>
      <c r="AJ746" s="1511"/>
      <c r="AK746" s="1364" t="s">
        <v>599</v>
      </c>
      <c r="AL746" s="1365"/>
      <c r="AM746" s="1365"/>
      <c r="AN746" s="1365"/>
      <c r="AO746" s="1366"/>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4"/>
      <c r="C747" s="1365"/>
      <c r="D747" s="1365"/>
      <c r="E747" s="1365"/>
      <c r="F747" s="1366"/>
      <c r="G747" s="1447"/>
      <c r="H747" s="1448"/>
      <c r="I747" s="1448"/>
      <c r="J747" s="1449"/>
      <c r="K747" s="1420"/>
      <c r="L747" s="1421"/>
      <c r="M747" s="1421"/>
      <c r="N747" s="1422"/>
      <c r="O747" s="1409"/>
      <c r="P747" s="1410"/>
      <c r="Q747" s="1410"/>
      <c r="R747" s="1410"/>
      <c r="S747" s="1411"/>
      <c r="T747" s="1409"/>
      <c r="U747" s="1410"/>
      <c r="V747" s="1410"/>
      <c r="W747" s="1411"/>
      <c r="X747" s="1513">
        <f t="shared" si="63"/>
        <v>0</v>
      </c>
      <c r="Y747" s="1514"/>
      <c r="Z747" s="1514"/>
      <c r="AA747" s="1514"/>
      <c r="AB747" s="1515"/>
      <c r="AC747" s="1423"/>
      <c r="AD747" s="1424"/>
      <c r="AE747" s="1424"/>
      <c r="AF747" s="1424"/>
      <c r="AG747" s="1425"/>
      <c r="AH747" s="1509" t="str">
        <f t="shared" si="62"/>
        <v/>
      </c>
      <c r="AI747" s="1510"/>
      <c r="AJ747" s="1511"/>
      <c r="AK747" s="1364" t="s">
        <v>599</v>
      </c>
      <c r="AL747" s="1365"/>
      <c r="AM747" s="1365"/>
      <c r="AN747" s="1365"/>
      <c r="AO747" s="1366"/>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4"/>
      <c r="C748" s="1365"/>
      <c r="D748" s="1365"/>
      <c r="E748" s="1365"/>
      <c r="F748" s="1366"/>
      <c r="G748" s="1447"/>
      <c r="H748" s="1448"/>
      <c r="I748" s="1448"/>
      <c r="J748" s="1449"/>
      <c r="K748" s="1420"/>
      <c r="L748" s="1421"/>
      <c r="M748" s="1421"/>
      <c r="N748" s="1422"/>
      <c r="O748" s="1409"/>
      <c r="P748" s="1410"/>
      <c r="Q748" s="1410"/>
      <c r="R748" s="1410"/>
      <c r="S748" s="1411"/>
      <c r="T748" s="1409"/>
      <c r="U748" s="1410"/>
      <c r="V748" s="1410"/>
      <c r="W748" s="1411"/>
      <c r="X748" s="1513">
        <f t="shared" si="63"/>
        <v>0</v>
      </c>
      <c r="Y748" s="1514"/>
      <c r="Z748" s="1514"/>
      <c r="AA748" s="1514"/>
      <c r="AB748" s="1515"/>
      <c r="AC748" s="1423"/>
      <c r="AD748" s="1424"/>
      <c r="AE748" s="1424"/>
      <c r="AF748" s="1424"/>
      <c r="AG748" s="1425"/>
      <c r="AH748" s="1509" t="str">
        <f t="shared" si="62"/>
        <v/>
      </c>
      <c r="AI748" s="1510"/>
      <c r="AJ748" s="1511"/>
      <c r="AK748" s="1364" t="s">
        <v>599</v>
      </c>
      <c r="AL748" s="1365"/>
      <c r="AM748" s="1365"/>
      <c r="AN748" s="1365"/>
      <c r="AO748" s="1366"/>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4"/>
      <c r="C749" s="1365"/>
      <c r="D749" s="1365"/>
      <c r="E749" s="1365"/>
      <c r="F749" s="1366"/>
      <c r="G749" s="1447"/>
      <c r="H749" s="1448"/>
      <c r="I749" s="1448"/>
      <c r="J749" s="1449"/>
      <c r="K749" s="1420"/>
      <c r="L749" s="1421"/>
      <c r="M749" s="1421"/>
      <c r="N749" s="1422"/>
      <c r="O749" s="1409"/>
      <c r="P749" s="1410"/>
      <c r="Q749" s="1410"/>
      <c r="R749" s="1410"/>
      <c r="S749" s="1411"/>
      <c r="T749" s="1409"/>
      <c r="U749" s="1410"/>
      <c r="V749" s="1410"/>
      <c r="W749" s="1411"/>
      <c r="X749" s="1513">
        <f t="shared" si="63"/>
        <v>0</v>
      </c>
      <c r="Y749" s="1514"/>
      <c r="Z749" s="1514"/>
      <c r="AA749" s="1514"/>
      <c r="AB749" s="1515"/>
      <c r="AC749" s="1423"/>
      <c r="AD749" s="1424"/>
      <c r="AE749" s="1424"/>
      <c r="AF749" s="1424"/>
      <c r="AG749" s="1425"/>
      <c r="AH749" s="1509" t="str">
        <f t="shared" si="62"/>
        <v/>
      </c>
      <c r="AI749" s="1510"/>
      <c r="AJ749" s="1511"/>
      <c r="AK749" s="1364" t="s">
        <v>599</v>
      </c>
      <c r="AL749" s="1365"/>
      <c r="AM749" s="1365"/>
      <c r="AN749" s="1365"/>
      <c r="AO749" s="1366"/>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4"/>
      <c r="C750" s="1365"/>
      <c r="D750" s="1365"/>
      <c r="E750" s="1365"/>
      <c r="F750" s="1366"/>
      <c r="G750" s="1447"/>
      <c r="H750" s="1448"/>
      <c r="I750" s="1448"/>
      <c r="J750" s="1449"/>
      <c r="K750" s="1420"/>
      <c r="L750" s="1421"/>
      <c r="M750" s="1421"/>
      <c r="N750" s="1422"/>
      <c r="O750" s="1409"/>
      <c r="P750" s="1410"/>
      <c r="Q750" s="1410"/>
      <c r="R750" s="1410"/>
      <c r="S750" s="1411"/>
      <c r="T750" s="1409"/>
      <c r="U750" s="1410"/>
      <c r="V750" s="1410"/>
      <c r="W750" s="1411"/>
      <c r="X750" s="1513">
        <f t="shared" si="63"/>
        <v>0</v>
      </c>
      <c r="Y750" s="1514"/>
      <c r="Z750" s="1514"/>
      <c r="AA750" s="1514"/>
      <c r="AB750" s="1515"/>
      <c r="AC750" s="1423"/>
      <c r="AD750" s="1424"/>
      <c r="AE750" s="1424"/>
      <c r="AF750" s="1424"/>
      <c r="AG750" s="1425"/>
      <c r="AH750" s="1509" t="str">
        <f t="shared" si="62"/>
        <v/>
      </c>
      <c r="AI750" s="1510"/>
      <c r="AJ750" s="1511"/>
      <c r="AK750" s="1364" t="s">
        <v>599</v>
      </c>
      <c r="AL750" s="1365"/>
      <c r="AM750" s="1365"/>
      <c r="AN750" s="1365"/>
      <c r="AO750" s="136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4"/>
      <c r="C751" s="1365"/>
      <c r="D751" s="1365"/>
      <c r="E751" s="1365"/>
      <c r="F751" s="1366"/>
      <c r="G751" s="1447"/>
      <c r="H751" s="1448"/>
      <c r="I751" s="1448"/>
      <c r="J751" s="1449"/>
      <c r="K751" s="1420"/>
      <c r="L751" s="1421"/>
      <c r="M751" s="1421"/>
      <c r="N751" s="1422"/>
      <c r="O751" s="1409"/>
      <c r="P751" s="1410"/>
      <c r="Q751" s="1410"/>
      <c r="R751" s="1410"/>
      <c r="S751" s="1411"/>
      <c r="T751" s="1409"/>
      <c r="U751" s="1410"/>
      <c r="V751" s="1410"/>
      <c r="W751" s="1411"/>
      <c r="X751" s="1513">
        <f t="shared" si="63"/>
        <v>0</v>
      </c>
      <c r="Y751" s="1514"/>
      <c r="Z751" s="1514"/>
      <c r="AA751" s="1514"/>
      <c r="AB751" s="1515"/>
      <c r="AC751" s="1423"/>
      <c r="AD751" s="1424"/>
      <c r="AE751" s="1424"/>
      <c r="AF751" s="1424"/>
      <c r="AG751" s="1425"/>
      <c r="AH751" s="1509" t="str">
        <f t="shared" si="62"/>
        <v/>
      </c>
      <c r="AI751" s="1510"/>
      <c r="AJ751" s="1511"/>
      <c r="AK751" s="1364" t="s">
        <v>599</v>
      </c>
      <c r="AL751" s="1365"/>
      <c r="AM751" s="1365"/>
      <c r="AN751" s="1365"/>
      <c r="AO751" s="136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4"/>
      <c r="C752" s="1365"/>
      <c r="D752" s="1365"/>
      <c r="E752" s="1365"/>
      <c r="F752" s="1366"/>
      <c r="G752" s="1447"/>
      <c r="H752" s="1448"/>
      <c r="I752" s="1448"/>
      <c r="J752" s="1449"/>
      <c r="K752" s="1420"/>
      <c r="L752" s="1421"/>
      <c r="M752" s="1421"/>
      <c r="N752" s="1422"/>
      <c r="O752" s="1409"/>
      <c r="P752" s="1410"/>
      <c r="Q752" s="1410"/>
      <c r="R752" s="1410"/>
      <c r="S752" s="1411"/>
      <c r="T752" s="1409"/>
      <c r="U752" s="1410"/>
      <c r="V752" s="1410"/>
      <c r="W752" s="1411"/>
      <c r="X752" s="1513">
        <f>O752+T752</f>
        <v>0</v>
      </c>
      <c r="Y752" s="1514"/>
      <c r="Z752" s="1514"/>
      <c r="AA752" s="1514"/>
      <c r="AB752" s="1515"/>
      <c r="AC752" s="1423"/>
      <c r="AD752" s="1424"/>
      <c r="AE752" s="1424"/>
      <c r="AF752" s="1424"/>
      <c r="AG752" s="1425"/>
      <c r="AH752" s="1509" t="str">
        <f>IF($AC752&gt;0,($X752/$BA701), "")</f>
        <v/>
      </c>
      <c r="AI752" s="1510"/>
      <c r="AJ752" s="1511"/>
      <c r="AK752" s="1364" t="s">
        <v>599</v>
      </c>
      <c r="AL752" s="1365"/>
      <c r="AM752" s="1365"/>
      <c r="AN752" s="1365"/>
      <c r="AO752" s="136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21" t="s">
        <v>125</v>
      </c>
      <c r="C753" s="1622"/>
      <c r="D753" s="1622"/>
      <c r="E753" s="1622"/>
      <c r="F753" s="1623"/>
      <c r="G753" s="1618">
        <f>SUM(G718:G752)</f>
        <v>81</v>
      </c>
      <c r="H753" s="1619"/>
      <c r="I753" s="1619"/>
      <c r="J753" s="1620"/>
      <c r="K753" s="937" t="s">
        <v>124</v>
      </c>
      <c r="L753" s="5"/>
      <c r="M753" s="5"/>
      <c r="N753" s="46"/>
      <c r="O753" s="1513">
        <f>SUMPRODUCT(G718:G752,O718:O752)</f>
        <v>127156</v>
      </c>
      <c r="P753" s="1514"/>
      <c r="Q753" s="1514"/>
      <c r="R753" s="1514"/>
      <c r="S753" s="1515"/>
      <c r="T753"/>
      <c r="U753"/>
      <c r="V753"/>
      <c r="W753"/>
      <c r="X753" s="939" t="s">
        <v>915</v>
      </c>
      <c r="Y753" s="938"/>
      <c r="Z753" s="938"/>
      <c r="AA753" s="938"/>
      <c r="AB753" s="940"/>
      <c r="AC753" s="1624">
        <f>BI703</f>
        <v>0.60000000000000009</v>
      </c>
      <c r="AD753" s="1625"/>
      <c r="AE753" s="1625"/>
      <c r="AF753" s="1625"/>
      <c r="AG753" s="1626"/>
      <c r="AH753" s="1624">
        <f>IFERROR(BV703,"")</f>
        <v>0.59640800580849707</v>
      </c>
      <c r="AI753" s="1625"/>
      <c r="AJ753" s="162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25" t="s">
        <v>2183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529">
        <f>CS634</f>
        <v>144</v>
      </c>
      <c r="P756" s="1529"/>
      <c r="Q756" s="1529"/>
      <c r="R756" s="1529"/>
      <c r="S756" s="1004"/>
      <c r="T756" s="1004"/>
      <c r="U756" s="118" t="s">
        <v>2182</v>
      </c>
      <c r="V756" s="1067"/>
      <c r="W756" s="1067"/>
      <c r="X756" s="1067"/>
      <c r="Y756" s="1068"/>
      <c r="Z756" s="1068"/>
      <c r="AA756" s="1068"/>
      <c r="AB756" s="1068"/>
      <c r="AC756" s="1067"/>
      <c r="AD756" s="1067"/>
      <c r="AE756" s="1067"/>
      <c r="AF756" s="1067"/>
      <c r="AG756" s="1723"/>
      <c r="AH756" s="1723"/>
      <c r="AI756" s="1723"/>
      <c r="AJ756" s="17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46" t="str">
        <f>IF(G753&lt;&gt;AG440,"! Total Low-Income Units in the Unit Mix Table above does not match the number of Total Low-Income Units on row #"&amp;TEXT(ROW(D440),"#"),"")</f>
        <v/>
      </c>
      <c r="D757" s="1446"/>
      <c r="E757" s="1446"/>
      <c r="F757" s="1446"/>
      <c r="G757" s="1446"/>
      <c r="H757" s="1446"/>
      <c r="I757" s="1446"/>
      <c r="J757" s="1446"/>
      <c r="K757" s="1446"/>
      <c r="L757" s="1446"/>
      <c r="M757" s="1446"/>
      <c r="N757" s="1446"/>
      <c r="O757" s="1446"/>
      <c r="P757" s="1446"/>
      <c r="Q757" s="1446"/>
      <c r="R757" s="1446"/>
      <c r="S757" s="1446"/>
      <c r="T757" s="1446"/>
      <c r="U757" s="1446"/>
      <c r="V757" s="1446"/>
      <c r="W757" s="1446"/>
      <c r="X757" s="1446"/>
      <c r="Y757" s="1446"/>
      <c r="Z757" s="1446"/>
      <c r="AA757" s="1446"/>
      <c r="AB757" s="1446"/>
      <c r="AC757" s="1446"/>
      <c r="AD757" s="1446"/>
      <c r="AE757" s="1446"/>
      <c r="AF757" s="1446"/>
      <c r="AG757" s="1446"/>
      <c r="AH757" s="1446"/>
      <c r="AI757" s="1446"/>
      <c r="AJ757" s="1446"/>
      <c r="AK757" s="1446"/>
      <c r="AL757" s="1446"/>
      <c r="AM757" s="144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46"/>
      <c r="D758" s="1446"/>
      <c r="E758" s="1446"/>
      <c r="F758" s="1446"/>
      <c r="G758" s="1446"/>
      <c r="H758" s="1446"/>
      <c r="I758" s="1446"/>
      <c r="J758" s="1446"/>
      <c r="K758" s="1446"/>
      <c r="L758" s="1446"/>
      <c r="M758" s="1446"/>
      <c r="N758" s="1446"/>
      <c r="O758" s="1446"/>
      <c r="P758" s="1446"/>
      <c r="Q758" s="1446"/>
      <c r="R758" s="1446"/>
      <c r="S758" s="1446"/>
      <c r="T758" s="1446"/>
      <c r="U758" s="1446"/>
      <c r="V758" s="1446"/>
      <c r="W758" s="1446"/>
      <c r="X758" s="1446"/>
      <c r="Y758" s="1446"/>
      <c r="Z758" s="1446"/>
      <c r="AA758" s="1446"/>
      <c r="AB758" s="1446"/>
      <c r="AC758" s="1446"/>
      <c r="AD758" s="1446"/>
      <c r="AE758" s="1446"/>
      <c r="AF758" s="1446"/>
      <c r="AG758" s="1446"/>
      <c r="AH758" s="1446"/>
      <c r="AI758" s="1446"/>
      <c r="AJ758" s="1446"/>
      <c r="AK758" s="1446"/>
      <c r="AL758" s="1446"/>
      <c r="AM758" s="144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4" t="s">
        <v>599</v>
      </c>
      <c r="AE759" s="1724"/>
      <c r="AF759" s="172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7" t="s">
        <v>389</v>
      </c>
      <c r="K769" s="1499"/>
      <c r="L769" s="1499"/>
      <c r="M769" s="1499"/>
      <c r="N769" s="1500"/>
      <c r="O769" s="1427" t="s">
        <v>285</v>
      </c>
      <c r="P769" s="1427"/>
      <c r="Q769" s="1427"/>
      <c r="R769" s="1427"/>
      <c r="S769" s="1427"/>
      <c r="T769" s="1759" t="s">
        <v>1868</v>
      </c>
      <c r="U769" s="1760"/>
      <c r="V769" s="1760"/>
      <c r="W769" s="1761"/>
      <c r="X769" s="1507" t="s">
        <v>455</v>
      </c>
      <c r="Y769" s="1499"/>
      <c r="Z769" s="1499"/>
      <c r="AA769" s="1499"/>
      <c r="AB769" s="1500"/>
      <c r="AC769" s="1507"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501"/>
      <c r="K770" s="1502"/>
      <c r="L770" s="1502"/>
      <c r="M770" s="1502"/>
      <c r="N770" s="1503"/>
      <c r="O770" s="1427"/>
      <c r="P770" s="1427"/>
      <c r="Q770" s="1427"/>
      <c r="R770" s="1427"/>
      <c r="S770" s="1427"/>
      <c r="T770" s="1762"/>
      <c r="U770" s="1763"/>
      <c r="V770" s="1763"/>
      <c r="W770" s="1764"/>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501"/>
      <c r="K771" s="1502"/>
      <c r="L771" s="1502"/>
      <c r="M771" s="1502"/>
      <c r="N771" s="1503"/>
      <c r="O771" s="1427"/>
      <c r="P771" s="1427"/>
      <c r="Q771" s="1427"/>
      <c r="R771" s="1427"/>
      <c r="S771" s="1427"/>
      <c r="T771" s="1762"/>
      <c r="U771" s="1763"/>
      <c r="V771" s="1763"/>
      <c r="W771" s="1764"/>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504"/>
      <c r="K772" s="1505"/>
      <c r="L772" s="1505"/>
      <c r="M772" s="1505"/>
      <c r="N772" s="1506"/>
      <c r="O772" s="1427"/>
      <c r="P772" s="1427"/>
      <c r="Q772" s="1427"/>
      <c r="R772" s="1427"/>
      <c r="S772" s="1427"/>
      <c r="T772" s="1765"/>
      <c r="U772" s="1766"/>
      <c r="V772" s="1766"/>
      <c r="W772" s="1767"/>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4" t="s">
        <v>163</v>
      </c>
      <c r="K773" s="1365"/>
      <c r="L773" s="1365"/>
      <c r="M773" s="1365"/>
      <c r="N773" s="1366"/>
      <c r="O773" s="1426">
        <v>1</v>
      </c>
      <c r="P773" s="1426"/>
      <c r="Q773" s="1426"/>
      <c r="R773" s="1426"/>
      <c r="S773" s="1426"/>
      <c r="T773" s="1420">
        <v>850</v>
      </c>
      <c r="U773" s="1421"/>
      <c r="V773" s="1421"/>
      <c r="W773" s="1422"/>
      <c r="X773" s="1409"/>
      <c r="Y773" s="1410"/>
      <c r="Z773" s="1410"/>
      <c r="AA773" s="1410"/>
      <c r="AB773" s="1411"/>
      <c r="AC773" s="1513">
        <f>X773*O773</f>
        <v>0</v>
      </c>
      <c r="AD773" s="1514"/>
      <c r="AE773" s="1514"/>
      <c r="AF773" s="1514"/>
      <c r="AG773" s="151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4"/>
      <c r="K774" s="1365"/>
      <c r="L774" s="1365"/>
      <c r="M774" s="1365"/>
      <c r="N774" s="1366"/>
      <c r="O774" s="1426"/>
      <c r="P774" s="1426"/>
      <c r="Q774" s="1426"/>
      <c r="R774" s="1426"/>
      <c r="S774" s="1426"/>
      <c r="T774" s="1420"/>
      <c r="U774" s="1421"/>
      <c r="V774" s="1421"/>
      <c r="W774" s="1422"/>
      <c r="X774" s="1409"/>
      <c r="Y774" s="1410"/>
      <c r="Z774" s="1410"/>
      <c r="AA774" s="1410"/>
      <c r="AB774" s="1411"/>
      <c r="AC774" s="1513">
        <f>X774*O774</f>
        <v>0</v>
      </c>
      <c r="AD774" s="1514"/>
      <c r="AE774" s="1514"/>
      <c r="AF774" s="1514"/>
      <c r="AG774" s="151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4"/>
      <c r="K775" s="1365"/>
      <c r="L775" s="1365"/>
      <c r="M775" s="1365"/>
      <c r="N775" s="1366"/>
      <c r="O775" s="1426"/>
      <c r="P775" s="1426"/>
      <c r="Q775" s="1426"/>
      <c r="R775" s="1426"/>
      <c r="S775" s="1426"/>
      <c r="T775" s="1420"/>
      <c r="U775" s="1421"/>
      <c r="V775" s="1421"/>
      <c r="W775" s="1422"/>
      <c r="X775" s="1409"/>
      <c r="Y775" s="1410"/>
      <c r="Z775" s="1410"/>
      <c r="AA775" s="1410"/>
      <c r="AB775" s="1411"/>
      <c r="AC775" s="1513">
        <f>X775*O775</f>
        <v>0</v>
      </c>
      <c r="AD775" s="1514"/>
      <c r="AE775" s="1514"/>
      <c r="AF775" s="1514"/>
      <c r="AG775" s="151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4"/>
      <c r="K776" s="1365"/>
      <c r="L776" s="1365"/>
      <c r="M776" s="1365"/>
      <c r="N776" s="1366"/>
      <c r="O776" s="1426"/>
      <c r="P776" s="1426"/>
      <c r="Q776" s="1426"/>
      <c r="R776" s="1426"/>
      <c r="S776" s="1426"/>
      <c r="T776" s="1420"/>
      <c r="U776" s="1421"/>
      <c r="V776" s="1421"/>
      <c r="W776" s="1422"/>
      <c r="X776" s="1409"/>
      <c r="Y776" s="1410"/>
      <c r="Z776" s="1410"/>
      <c r="AA776" s="1410"/>
      <c r="AB776" s="1411"/>
      <c r="AC776" s="1513">
        <f>X776*O776</f>
        <v>0</v>
      </c>
      <c r="AD776" s="1514"/>
      <c r="AE776" s="1514"/>
      <c r="AF776" s="1514"/>
      <c r="AG776" s="151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21" t="s">
        <v>125</v>
      </c>
      <c r="K777" s="1622"/>
      <c r="L777" s="1622"/>
      <c r="M777" s="1622"/>
      <c r="N777" s="1623"/>
      <c r="O777" s="1531">
        <f>SUM(O773:S776)</f>
        <v>1</v>
      </c>
      <c r="P777" s="1722"/>
      <c r="Q777" s="1722"/>
      <c r="R777" s="1722"/>
      <c r="S777" s="1532"/>
      <c r="X777" s="1621" t="s">
        <v>124</v>
      </c>
      <c r="Y777" s="1622"/>
      <c r="Z777" s="1622"/>
      <c r="AA777" s="1622"/>
      <c r="AB777" s="1623"/>
      <c r="AC777" s="1513">
        <f>SUM(AC773:AG776)</f>
        <v>0</v>
      </c>
      <c r="AD777" s="1514"/>
      <c r="AE777" s="1514"/>
      <c r="AF777" s="1514"/>
      <c r="AG777" s="151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68" t="s">
        <v>677</v>
      </c>
      <c r="K779" s="1668"/>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7" t="s">
        <v>389</v>
      </c>
      <c r="K783" s="1499"/>
      <c r="L783" s="1499"/>
      <c r="M783" s="1499"/>
      <c r="N783" s="1500"/>
      <c r="O783" s="1427" t="s">
        <v>285</v>
      </c>
      <c r="P783" s="1427"/>
      <c r="Q783" s="1427"/>
      <c r="R783" s="1427"/>
      <c r="S783" s="1427"/>
      <c r="T783" s="1759" t="s">
        <v>1868</v>
      </c>
      <c r="U783" s="1760"/>
      <c r="V783" s="1760"/>
      <c r="W783" s="1761"/>
      <c r="X783" s="1507" t="s">
        <v>455</v>
      </c>
      <c r="Y783" s="1499"/>
      <c r="Z783" s="1499"/>
      <c r="AA783" s="1499"/>
      <c r="AB783" s="1500"/>
      <c r="AC783" s="1507"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501"/>
      <c r="K784" s="1502"/>
      <c r="L784" s="1502"/>
      <c r="M784" s="1502"/>
      <c r="N784" s="1503"/>
      <c r="O784" s="1427"/>
      <c r="P784" s="1427"/>
      <c r="Q784" s="1427"/>
      <c r="R784" s="1427"/>
      <c r="S784" s="1427"/>
      <c r="T784" s="1762"/>
      <c r="U784" s="1763"/>
      <c r="V784" s="1763"/>
      <c r="W784" s="1764"/>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501"/>
      <c r="K785" s="1502"/>
      <c r="L785" s="1502"/>
      <c r="M785" s="1502"/>
      <c r="N785" s="1503"/>
      <c r="O785" s="1427"/>
      <c r="P785" s="1427"/>
      <c r="Q785" s="1427"/>
      <c r="R785" s="1427"/>
      <c r="S785" s="1427"/>
      <c r="T785" s="1762"/>
      <c r="U785" s="1763"/>
      <c r="V785" s="1763"/>
      <c r="W785" s="1764"/>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504"/>
      <c r="K786" s="1505"/>
      <c r="L786" s="1505"/>
      <c r="M786" s="1505"/>
      <c r="N786" s="1506"/>
      <c r="O786" s="1427"/>
      <c r="P786" s="1427"/>
      <c r="Q786" s="1427"/>
      <c r="R786" s="1427"/>
      <c r="S786" s="1427"/>
      <c r="T786" s="1765"/>
      <c r="U786" s="1766"/>
      <c r="V786" s="1766"/>
      <c r="W786" s="1767"/>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4"/>
      <c r="K787" s="1365"/>
      <c r="L787" s="1365"/>
      <c r="M787" s="1365"/>
      <c r="N787" s="1366"/>
      <c r="O787" s="1426"/>
      <c r="P787" s="1426"/>
      <c r="Q787" s="1426"/>
      <c r="R787" s="1426"/>
      <c r="S787" s="1426"/>
      <c r="T787" s="1420"/>
      <c r="U787" s="1421"/>
      <c r="V787" s="1421"/>
      <c r="W787" s="1422"/>
      <c r="X787" s="1409"/>
      <c r="Y787" s="1410"/>
      <c r="Z787" s="1410"/>
      <c r="AA787" s="1410"/>
      <c r="AB787" s="1411"/>
      <c r="AC787" s="1513">
        <f t="shared" ref="AC787:AC796" si="64">X787*O787</f>
        <v>0</v>
      </c>
      <c r="AD787" s="1514"/>
      <c r="AE787" s="1514"/>
      <c r="AF787" s="1514"/>
      <c r="AG787" s="15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4"/>
      <c r="K788" s="1365"/>
      <c r="L788" s="1365"/>
      <c r="M788" s="1365"/>
      <c r="N788" s="1366"/>
      <c r="O788" s="1426"/>
      <c r="P788" s="1426"/>
      <c r="Q788" s="1426"/>
      <c r="R788" s="1426"/>
      <c r="S788" s="1426"/>
      <c r="T788" s="1420"/>
      <c r="U788" s="1421"/>
      <c r="V788" s="1421"/>
      <c r="W788" s="1422"/>
      <c r="X788" s="1409"/>
      <c r="Y788" s="1410"/>
      <c r="Z788" s="1410"/>
      <c r="AA788" s="1410"/>
      <c r="AB788" s="1411"/>
      <c r="AC788" s="1513">
        <f t="shared" si="64"/>
        <v>0</v>
      </c>
      <c r="AD788" s="1514"/>
      <c r="AE788" s="1514"/>
      <c r="AF788" s="1514"/>
      <c r="AG788" s="15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4"/>
      <c r="K789" s="1365"/>
      <c r="L789" s="1365"/>
      <c r="M789" s="1365"/>
      <c r="N789" s="1366"/>
      <c r="O789" s="1426"/>
      <c r="P789" s="1426"/>
      <c r="Q789" s="1426"/>
      <c r="R789" s="1426"/>
      <c r="S789" s="1426"/>
      <c r="T789" s="1420"/>
      <c r="U789" s="1421"/>
      <c r="V789" s="1421"/>
      <c r="W789" s="1422"/>
      <c r="X789" s="1409"/>
      <c r="Y789" s="1410"/>
      <c r="Z789" s="1410"/>
      <c r="AA789" s="1410"/>
      <c r="AB789" s="1411"/>
      <c r="AC789" s="1513">
        <f t="shared" si="64"/>
        <v>0</v>
      </c>
      <c r="AD789" s="1514"/>
      <c r="AE789" s="1514"/>
      <c r="AF789" s="1514"/>
      <c r="AG789" s="15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4"/>
      <c r="K790" s="1365"/>
      <c r="L790" s="1365"/>
      <c r="M790" s="1365"/>
      <c r="N790" s="1366"/>
      <c r="O790" s="1426"/>
      <c r="P790" s="1426"/>
      <c r="Q790" s="1426"/>
      <c r="R790" s="1426"/>
      <c r="S790" s="1426"/>
      <c r="T790" s="1420"/>
      <c r="U790" s="1421"/>
      <c r="V790" s="1421"/>
      <c r="W790" s="1422"/>
      <c r="X790" s="1409"/>
      <c r="Y790" s="1410"/>
      <c r="Z790" s="1410"/>
      <c r="AA790" s="1410"/>
      <c r="AB790" s="1411"/>
      <c r="AC790" s="1513">
        <f t="shared" si="64"/>
        <v>0</v>
      </c>
      <c r="AD790" s="1514"/>
      <c r="AE790" s="1514"/>
      <c r="AF790" s="1514"/>
      <c r="AG790" s="15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4"/>
      <c r="K791" s="1365"/>
      <c r="L791" s="1365"/>
      <c r="M791" s="1365"/>
      <c r="N791" s="1366"/>
      <c r="O791" s="1426"/>
      <c r="P791" s="1426"/>
      <c r="Q791" s="1426"/>
      <c r="R791" s="1426"/>
      <c r="S791" s="1426"/>
      <c r="T791" s="1420"/>
      <c r="U791" s="1421"/>
      <c r="V791" s="1421"/>
      <c r="W791" s="1422"/>
      <c r="X791" s="1409"/>
      <c r="Y791" s="1410"/>
      <c r="Z791" s="1410"/>
      <c r="AA791" s="1410"/>
      <c r="AB791" s="1411"/>
      <c r="AC791" s="1513">
        <f t="shared" si="64"/>
        <v>0</v>
      </c>
      <c r="AD791" s="1514"/>
      <c r="AE791" s="1514"/>
      <c r="AF791" s="1514"/>
      <c r="AG791" s="15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4"/>
      <c r="K792" s="1365"/>
      <c r="L792" s="1365"/>
      <c r="M792" s="1365"/>
      <c r="N792" s="1366"/>
      <c r="O792" s="1426"/>
      <c r="P792" s="1426"/>
      <c r="Q792" s="1426"/>
      <c r="R792" s="1426"/>
      <c r="S792" s="1426"/>
      <c r="T792" s="1420"/>
      <c r="U792" s="1421"/>
      <c r="V792" s="1421"/>
      <c r="W792" s="1422"/>
      <c r="X792" s="1409"/>
      <c r="Y792" s="1410"/>
      <c r="Z792" s="1410"/>
      <c r="AA792" s="1410"/>
      <c r="AB792" s="1411"/>
      <c r="AC792" s="1513">
        <f t="shared" si="64"/>
        <v>0</v>
      </c>
      <c r="AD792" s="1514"/>
      <c r="AE792" s="1514"/>
      <c r="AF792" s="1514"/>
      <c r="AG792" s="15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4"/>
      <c r="K793" s="1365"/>
      <c r="L793" s="1365"/>
      <c r="M793" s="1365"/>
      <c r="N793" s="1366"/>
      <c r="O793" s="1426"/>
      <c r="P793" s="1426"/>
      <c r="Q793" s="1426"/>
      <c r="R793" s="1426"/>
      <c r="S793" s="1426"/>
      <c r="T793" s="1420"/>
      <c r="U793" s="1421"/>
      <c r="V793" s="1421"/>
      <c r="W793" s="1422"/>
      <c r="X793" s="1409"/>
      <c r="Y793" s="1410"/>
      <c r="Z793" s="1410"/>
      <c r="AA793" s="1410"/>
      <c r="AB793" s="1411"/>
      <c r="AC793" s="1513">
        <f t="shared" si="64"/>
        <v>0</v>
      </c>
      <c r="AD793" s="1514"/>
      <c r="AE793" s="1514"/>
      <c r="AF793" s="1514"/>
      <c r="AG793" s="15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4"/>
      <c r="K794" s="1365"/>
      <c r="L794" s="1365"/>
      <c r="M794" s="1365"/>
      <c r="N794" s="1366"/>
      <c r="O794" s="1426"/>
      <c r="P794" s="1426"/>
      <c r="Q794" s="1426"/>
      <c r="R794" s="1426"/>
      <c r="S794" s="1426"/>
      <c r="T794" s="1420"/>
      <c r="U794" s="1421"/>
      <c r="V794" s="1421"/>
      <c r="W794" s="1422"/>
      <c r="X794" s="1409"/>
      <c r="Y794" s="1410"/>
      <c r="Z794" s="1410"/>
      <c r="AA794" s="1410"/>
      <c r="AB794" s="1411"/>
      <c r="AC794" s="1513">
        <f t="shared" si="64"/>
        <v>0</v>
      </c>
      <c r="AD794" s="1514"/>
      <c r="AE794" s="1514"/>
      <c r="AF794" s="1514"/>
      <c r="AG794" s="15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4"/>
      <c r="K795" s="1365"/>
      <c r="L795" s="1365"/>
      <c r="M795" s="1365"/>
      <c r="N795" s="1366"/>
      <c r="O795" s="1426"/>
      <c r="P795" s="1426"/>
      <c r="Q795" s="1426"/>
      <c r="R795" s="1426"/>
      <c r="S795" s="1426"/>
      <c r="T795" s="1420"/>
      <c r="U795" s="1421"/>
      <c r="V795" s="1421"/>
      <c r="W795" s="1422"/>
      <c r="X795" s="1409"/>
      <c r="Y795" s="1410"/>
      <c r="Z795" s="1410"/>
      <c r="AA795" s="1410"/>
      <c r="AB795" s="1411"/>
      <c r="AC795" s="1513">
        <f t="shared" si="64"/>
        <v>0</v>
      </c>
      <c r="AD795" s="1514"/>
      <c r="AE795" s="1514"/>
      <c r="AF795" s="1514"/>
      <c r="AG795" s="15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4"/>
      <c r="K796" s="1365"/>
      <c r="L796" s="1365"/>
      <c r="M796" s="1365"/>
      <c r="N796" s="1366"/>
      <c r="O796" s="1426"/>
      <c r="P796" s="1426"/>
      <c r="Q796" s="1426"/>
      <c r="R796" s="1426"/>
      <c r="S796" s="1426"/>
      <c r="T796" s="1420"/>
      <c r="U796" s="1421"/>
      <c r="V796" s="1421"/>
      <c r="W796" s="1422"/>
      <c r="X796" s="1409"/>
      <c r="Y796" s="1410"/>
      <c r="Z796" s="1410"/>
      <c r="AA796" s="1410"/>
      <c r="AB796" s="1411"/>
      <c r="AC796" s="1513">
        <f t="shared" si="64"/>
        <v>0</v>
      </c>
      <c r="AD796" s="1514"/>
      <c r="AE796" s="1514"/>
      <c r="AF796" s="1514"/>
      <c r="AG796" s="1515"/>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7" t="s">
        <v>477</v>
      </c>
      <c r="BO796" s="1678"/>
      <c r="BP796" s="3"/>
      <c r="BQ796" s="3"/>
      <c r="BR796" s="3"/>
      <c r="BS796" s="14" t="s">
        <v>642</v>
      </c>
      <c r="BT796" s="14"/>
      <c r="BU796" s="14"/>
      <c r="BV796" s="14"/>
      <c r="BW796" s="14"/>
      <c r="BX796" s="14"/>
      <c r="BY796" s="14"/>
      <c r="BZ796" s="14"/>
      <c r="CA796" s="14"/>
      <c r="CB796" s="1674" t="str">
        <f>T189</f>
        <v>Los Angeles</v>
      </c>
      <c r="CC796" s="1675"/>
      <c r="CD796" s="1675"/>
      <c r="CE796" s="1675"/>
      <c r="CF796" s="1675"/>
      <c r="CG796" s="1675"/>
      <c r="CH796" s="167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21" t="s">
        <v>125</v>
      </c>
      <c r="K797" s="1622"/>
      <c r="L797" s="1622"/>
      <c r="M797" s="1622"/>
      <c r="N797" s="1623"/>
      <c r="O797" s="1527">
        <f>SUM(O787:S796)</f>
        <v>0</v>
      </c>
      <c r="P797" s="1527"/>
      <c r="Q797" s="1527"/>
      <c r="R797" s="1527"/>
      <c r="S797" s="1527"/>
      <c r="T797"/>
      <c r="U797"/>
      <c r="V797"/>
      <c r="W797"/>
      <c r="X797" s="937" t="s">
        <v>124</v>
      </c>
      <c r="Y797" s="11"/>
      <c r="Z797" s="11"/>
      <c r="AA797" s="11"/>
      <c r="AB797" s="944"/>
      <c r="AC797" s="1513">
        <f>SUM(AC787:AG796)</f>
        <v>0</v>
      </c>
      <c r="AD797" s="1514"/>
      <c r="AE797" s="1514"/>
      <c r="AF797" s="1514"/>
      <c r="AG797" s="151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19" t="str">
        <f>IF(O797&lt;&gt;AG438,"! Total market rate units in the Unit Mix Table above does not match the number of  market rate units on row #"&amp;TEXT(ROW(D438),"#"),"")</f>
        <v/>
      </c>
      <c r="D798" s="1419"/>
      <c r="E798" s="1419"/>
      <c r="F798" s="1419"/>
      <c r="G798" s="1419"/>
      <c r="H798" s="1419"/>
      <c r="I798" s="1419"/>
      <c r="J798" s="1419"/>
      <c r="K798" s="1419"/>
      <c r="L798" s="1419"/>
      <c r="M798" s="1419"/>
      <c r="N798" s="1419"/>
      <c r="O798" s="1419"/>
      <c r="P798" s="1419"/>
      <c r="Q798" s="1419"/>
      <c r="R798" s="1419"/>
      <c r="S798" s="1419"/>
      <c r="T798" s="1419"/>
      <c r="U798" s="1419"/>
      <c r="V798" s="1419"/>
      <c r="W798" s="1419"/>
      <c r="X798" s="1419"/>
      <c r="Y798" s="1419"/>
      <c r="Z798" s="1419"/>
      <c r="AA798" s="1419"/>
      <c r="AB798" s="1419"/>
      <c r="AC798" s="1419"/>
      <c r="AD798" s="1419"/>
      <c r="AE798" s="1419"/>
      <c r="AF798" s="1419"/>
      <c r="AG798" s="1419"/>
      <c r="AH798" s="1419"/>
      <c r="AI798" s="1419"/>
      <c r="AJ798" s="1419"/>
      <c r="AK798" s="1419"/>
      <c r="AL798" s="1419"/>
      <c r="AM798" s="1419"/>
      <c r="AN798" s="141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19"/>
      <c r="D799" s="1419"/>
      <c r="E799" s="1419"/>
      <c r="F799" s="1419"/>
      <c r="G799" s="1419"/>
      <c r="H799" s="1419"/>
      <c r="I799" s="1419"/>
      <c r="J799" s="1419"/>
      <c r="K799" s="1419"/>
      <c r="L799" s="1419"/>
      <c r="M799" s="1419"/>
      <c r="N799" s="1419"/>
      <c r="O799" s="1419"/>
      <c r="P799" s="1419"/>
      <c r="Q799" s="1419"/>
      <c r="R799" s="1419"/>
      <c r="S799" s="1419"/>
      <c r="T799" s="1419"/>
      <c r="U799" s="1419"/>
      <c r="V799" s="1419"/>
      <c r="W799" s="1419"/>
      <c r="X799" s="1419"/>
      <c r="Y799" s="1419"/>
      <c r="Z799" s="1419"/>
      <c r="AA799" s="1419"/>
      <c r="AB799" s="1419"/>
      <c r="AC799" s="1419"/>
      <c r="AD799" s="1419"/>
      <c r="AE799" s="1419"/>
      <c r="AF799" s="1419"/>
      <c r="AG799" s="1419"/>
      <c r="AH799" s="1419"/>
      <c r="AI799" s="1419"/>
      <c r="AJ799" s="1419"/>
      <c r="AK799" s="1419"/>
      <c r="AL799" s="1419"/>
      <c r="AM799" s="1419"/>
      <c r="AN799" s="141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36">
        <f>O753+AC777+AC797</f>
        <v>127156</v>
      </c>
      <c r="Z800" s="1736"/>
      <c r="AA800" s="1736"/>
      <c r="AB800" s="1736"/>
      <c r="AC800" s="173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6">
        <f>(O753+AC777+AC797)*12</f>
        <v>1525872</v>
      </c>
      <c r="Z801" s="1736"/>
      <c r="AA801" s="1736"/>
      <c r="AB801" s="1736"/>
      <c r="AC801" s="173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28"/>
      <c r="AA806" s="1629"/>
      <c r="AB806" s="1629"/>
      <c r="AC806" s="1629"/>
      <c r="AD806" s="1629"/>
      <c r="AE806" s="163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8"/>
      <c r="AA807" s="1629"/>
      <c r="AB807" s="1629"/>
      <c r="AC807" s="1629"/>
      <c r="AD807" s="1629"/>
      <c r="AE807" s="163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4">
        <v>0</v>
      </c>
      <c r="AA808" s="1564"/>
      <c r="AB808" s="1564"/>
      <c r="AC808" s="1564"/>
      <c r="AD808" s="1564"/>
      <c r="AE808" s="156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2">
        <f>'Subsidy Contract Calculation'!J40</f>
        <v>0</v>
      </c>
      <c r="AA809" s="1663"/>
      <c r="AB809" s="1663"/>
      <c r="AC809" s="1663"/>
      <c r="AD809" s="1663"/>
      <c r="AE809" s="166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28">
        <v>3936</v>
      </c>
      <c r="AA813" s="1429"/>
      <c r="AB813" s="1429"/>
      <c r="AC813" s="1429"/>
      <c r="AD813" s="1429"/>
      <c r="AE813" s="143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28"/>
      <c r="AA814" s="1429"/>
      <c r="AB814" s="1429"/>
      <c r="AC814" s="1429"/>
      <c r="AD814" s="1429"/>
      <c r="AE814" s="143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28"/>
      <c r="AA815" s="1429"/>
      <c r="AB815" s="1429"/>
      <c r="AC815" s="1429"/>
      <c r="AD815" s="1429"/>
      <c r="AE815" s="143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4" t="s">
        <v>334</v>
      </c>
      <c r="Q816" s="1615"/>
      <c r="R816" s="1615"/>
      <c r="S816" s="1615"/>
      <c r="T816" s="1615"/>
      <c r="U816" s="1615"/>
      <c r="V816" s="1615"/>
      <c r="W816" s="1615"/>
      <c r="X816" s="1615"/>
      <c r="Y816" s="1616"/>
      <c r="Z816" s="1428"/>
      <c r="AA816" s="1429"/>
      <c r="AB816" s="1429"/>
      <c r="AC816" s="1429"/>
      <c r="AD816" s="1429"/>
      <c r="AE816" s="143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2">
        <f>SUM(Z813:AE816)</f>
        <v>3936</v>
      </c>
      <c r="AA817" s="1663"/>
      <c r="AB817" s="1663"/>
      <c r="AC817" s="1663"/>
      <c r="AD817" s="1663"/>
      <c r="AE817" s="166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62">
        <f>Z817+Y801+Z809</f>
        <v>1529808</v>
      </c>
      <c r="AA818" s="1663"/>
      <c r="AB818" s="1663"/>
      <c r="AC818" s="1663"/>
      <c r="AD818" s="1663"/>
      <c r="AE818" s="166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07" t="s">
        <v>126</v>
      </c>
      <c r="N823" s="1607"/>
      <c r="O823" s="1607"/>
      <c r="P823" s="1753"/>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768" t="s">
        <v>335</v>
      </c>
      <c r="AH823" s="1768"/>
      <c r="AI823" s="1768"/>
      <c r="AJ823" s="176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70"/>
      <c r="N824" s="1570"/>
      <c r="O824" s="1570"/>
      <c r="P824" s="1571"/>
      <c r="Q824" s="1627"/>
      <c r="R824" s="1627"/>
      <c r="S824" s="1627"/>
      <c r="T824" s="1627"/>
      <c r="U824" s="1627"/>
      <c r="V824" s="1627"/>
      <c r="W824" s="1627"/>
      <c r="X824" s="1627"/>
      <c r="Y824" s="1627"/>
      <c r="Z824" s="1627"/>
      <c r="AA824" s="1627"/>
      <c r="AB824" s="1627"/>
      <c r="AC824" s="1627"/>
      <c r="AD824" s="1627"/>
      <c r="AE824" s="1627"/>
      <c r="AF824" s="1627"/>
      <c r="AG824" s="1768"/>
      <c r="AH824" s="1768"/>
      <c r="AI824" s="1768"/>
      <c r="AJ824" s="1768"/>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27" t="s">
        <v>40</v>
      </c>
      <c r="D825" s="1455"/>
      <c r="E825" s="1455"/>
      <c r="F825" s="1455"/>
      <c r="G825" s="1455"/>
      <c r="H825" s="1455"/>
      <c r="I825" s="48"/>
      <c r="J825" s="48"/>
      <c r="K825" s="48"/>
      <c r="L825" s="49"/>
      <c r="M825" s="1617"/>
      <c r="N825" s="1617"/>
      <c r="O825" s="1617"/>
      <c r="P825" s="1617"/>
      <c r="Q825" s="1617">
        <v>8</v>
      </c>
      <c r="R825" s="1617"/>
      <c r="S825" s="1617"/>
      <c r="T825" s="1617"/>
      <c r="U825" s="1617">
        <v>10</v>
      </c>
      <c r="V825" s="1617"/>
      <c r="W825" s="1617"/>
      <c r="X825" s="1617"/>
      <c r="Y825" s="1617">
        <v>13</v>
      </c>
      <c r="Z825" s="1617"/>
      <c r="AA825" s="1617"/>
      <c r="AB825" s="1617"/>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31" t="s">
        <v>41</v>
      </c>
      <c r="D826" s="1632"/>
      <c r="E826" s="1632"/>
      <c r="F826" s="1632"/>
      <c r="G826" s="1632"/>
      <c r="H826" s="1632"/>
      <c r="I826" s="5"/>
      <c r="J826" s="5"/>
      <c r="K826" s="5"/>
      <c r="L826" s="46"/>
      <c r="M826" s="1617"/>
      <c r="N826" s="1617"/>
      <c r="O826" s="1617"/>
      <c r="P826" s="1617"/>
      <c r="Q826" s="1617">
        <v>3</v>
      </c>
      <c r="R826" s="1617"/>
      <c r="S826" s="1617"/>
      <c r="T826" s="1617"/>
      <c r="U826" s="1617">
        <v>4</v>
      </c>
      <c r="V826" s="1617"/>
      <c r="W826" s="1617"/>
      <c r="X826" s="1617"/>
      <c r="Y826" s="1617">
        <v>5</v>
      </c>
      <c r="Z826" s="1617"/>
      <c r="AA826" s="1617"/>
      <c r="AB826" s="1617"/>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31" t="s">
        <v>42</v>
      </c>
      <c r="D827" s="1632"/>
      <c r="E827" s="1632"/>
      <c r="F827" s="1632"/>
      <c r="G827" s="1632"/>
      <c r="H827" s="1632"/>
      <c r="I827" s="60"/>
      <c r="J827" s="60"/>
      <c r="K827" s="60"/>
      <c r="L827" s="61"/>
      <c r="M827" s="1617"/>
      <c r="N827" s="1617"/>
      <c r="O827" s="1617"/>
      <c r="P827" s="1617"/>
      <c r="Q827" s="1617"/>
      <c r="R827" s="1617"/>
      <c r="S827" s="1617"/>
      <c r="T827" s="1617"/>
      <c r="U827" s="1617"/>
      <c r="V827" s="1617"/>
      <c r="W827" s="1617"/>
      <c r="X827" s="1617"/>
      <c r="Y827" s="1617"/>
      <c r="Z827" s="1617"/>
      <c r="AA827" s="1617"/>
      <c r="AB827" s="1617"/>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31" t="s">
        <v>771</v>
      </c>
      <c r="D828" s="1632"/>
      <c r="E828" s="1632"/>
      <c r="F828" s="1632"/>
      <c r="G828" s="1632"/>
      <c r="H828" s="1632"/>
      <c r="I828" s="60"/>
      <c r="J828" s="60"/>
      <c r="K828" s="60"/>
      <c r="L828" s="61"/>
      <c r="M828" s="1617"/>
      <c r="N828" s="1617"/>
      <c r="O828" s="1617"/>
      <c r="P828" s="1617"/>
      <c r="Q828" s="1617"/>
      <c r="R828" s="1617"/>
      <c r="S828" s="1617"/>
      <c r="T828" s="1617"/>
      <c r="U828" s="1617"/>
      <c r="V828" s="1617"/>
      <c r="W828" s="1617"/>
      <c r="X828" s="1617"/>
      <c r="Y828" s="1617"/>
      <c r="Z828" s="1617"/>
      <c r="AA828" s="1617"/>
      <c r="AB828" s="1617"/>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31" t="s">
        <v>467</v>
      </c>
      <c r="D829" s="1632"/>
      <c r="E829" s="1632"/>
      <c r="F829" s="1632"/>
      <c r="G829" s="1632"/>
      <c r="H829" s="1632"/>
      <c r="I829" s="60"/>
      <c r="J829" s="60"/>
      <c r="K829" s="60"/>
      <c r="L829" s="61"/>
      <c r="M829" s="1617"/>
      <c r="N829" s="1617"/>
      <c r="O829" s="1617"/>
      <c r="P829" s="1617"/>
      <c r="Q829" s="1617">
        <f>23+10</f>
        <v>33</v>
      </c>
      <c r="R829" s="1617"/>
      <c r="S829" s="1617"/>
      <c r="T829" s="1617"/>
      <c r="U829" s="1617">
        <f>29+12</f>
        <v>41</v>
      </c>
      <c r="V829" s="1617"/>
      <c r="W829" s="1617"/>
      <c r="X829" s="1617"/>
      <c r="Y829" s="1617">
        <f>36+15</f>
        <v>51</v>
      </c>
      <c r="Z829" s="1617"/>
      <c r="AA829" s="1617"/>
      <c r="AB829" s="1617"/>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53" t="s">
        <v>792</v>
      </c>
      <c r="D830" s="1632"/>
      <c r="E830" s="1632"/>
      <c r="F830" s="1632"/>
      <c r="G830" s="1632"/>
      <c r="H830" s="1632"/>
      <c r="I830" s="60"/>
      <c r="J830" s="60"/>
      <c r="K830" s="60"/>
      <c r="L830" s="61"/>
      <c r="M830" s="1617"/>
      <c r="N830" s="1617"/>
      <c r="O830" s="1617"/>
      <c r="P830" s="1617"/>
      <c r="Q830" s="1617"/>
      <c r="R830" s="1617"/>
      <c r="S830" s="1617"/>
      <c r="T830" s="1617"/>
      <c r="U830" s="1617"/>
      <c r="V830" s="1617"/>
      <c r="W830" s="1617"/>
      <c r="X830" s="1617"/>
      <c r="Y830" s="1617"/>
      <c r="Z830" s="1617"/>
      <c r="AA830" s="1617"/>
      <c r="AB830" s="1617"/>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14" t="s">
        <v>334</v>
      </c>
      <c r="G831" s="1615"/>
      <c r="H831" s="1615"/>
      <c r="I831" s="1615"/>
      <c r="J831" s="1615"/>
      <c r="K831" s="1615"/>
      <c r="L831" s="1615"/>
      <c r="M831" s="1617"/>
      <c r="N831" s="1617"/>
      <c r="O831" s="1617"/>
      <c r="P831" s="1617"/>
      <c r="Q831" s="1617"/>
      <c r="R831" s="1617"/>
      <c r="S831" s="1617"/>
      <c r="T831" s="1617"/>
      <c r="U831" s="1617"/>
      <c r="V831" s="1617"/>
      <c r="W831" s="1617"/>
      <c r="X831" s="1617"/>
      <c r="Y831" s="1617"/>
      <c r="Z831" s="1617"/>
      <c r="AA831" s="1617"/>
      <c r="AB831" s="1617"/>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21" t="s">
        <v>124</v>
      </c>
      <c r="D832" s="1622"/>
      <c r="E832" s="1622"/>
      <c r="F832" s="1622"/>
      <c r="G832" s="1622"/>
      <c r="H832" s="1622"/>
      <c r="I832" s="1622"/>
      <c r="J832" s="1622"/>
      <c r="K832" s="1622"/>
      <c r="L832" s="1623"/>
      <c r="M832" s="1745">
        <f>SUM(M825:P831)</f>
        <v>0</v>
      </c>
      <c r="N832" s="1745"/>
      <c r="O832" s="1745"/>
      <c r="P832" s="1745"/>
      <c r="Q832" s="1745">
        <f>SUM(Q825:T831)</f>
        <v>44</v>
      </c>
      <c r="R832" s="1745"/>
      <c r="S832" s="1745"/>
      <c r="T832" s="1745"/>
      <c r="U832" s="1745">
        <f>SUM(U825:X831)</f>
        <v>55</v>
      </c>
      <c r="V832" s="1745"/>
      <c r="W832" s="1745"/>
      <c r="X832" s="1745"/>
      <c r="Y832" s="1745">
        <f>SUM(Y825:AB831)</f>
        <v>69</v>
      </c>
      <c r="Z832" s="1745"/>
      <c r="AA832" s="1745"/>
      <c r="AB832" s="1745"/>
      <c r="AC832" s="1745">
        <f>SUM(AC825:AF831)</f>
        <v>0</v>
      </c>
      <c r="AD832" s="1745"/>
      <c r="AE832" s="1745"/>
      <c r="AF832" s="1745"/>
      <c r="AG832" s="1745">
        <f>SUM(AG825:AJ831)</f>
        <v>0</v>
      </c>
      <c r="AH832" s="1745"/>
      <c r="AI832" s="1745"/>
      <c r="AJ832" s="174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0" t="s">
        <v>2678</v>
      </c>
      <c r="D837" s="1681"/>
      <c r="E837" s="1681"/>
      <c r="F837" s="1681"/>
      <c r="G837" s="1681"/>
      <c r="H837" s="1681"/>
      <c r="I837" s="1681"/>
      <c r="J837" s="1681"/>
      <c r="K837" s="1681"/>
      <c r="L837" s="1681"/>
      <c r="M837" s="1681"/>
      <c r="N837" s="1681"/>
      <c r="O837" s="1681"/>
      <c r="P837" s="1681"/>
      <c r="Q837" s="1681"/>
      <c r="R837" s="1681"/>
      <c r="S837" s="1681"/>
      <c r="T837" s="1681"/>
      <c r="U837" s="1681"/>
      <c r="V837" s="1681"/>
      <c r="W837" s="1681"/>
      <c r="X837" s="1681"/>
      <c r="Y837" s="1681"/>
      <c r="Z837" s="1681"/>
      <c r="AA837" s="1681"/>
      <c r="AB837" s="1681"/>
      <c r="AC837" s="1681"/>
      <c r="AD837" s="1681"/>
      <c r="AE837" s="1681"/>
      <c r="AF837" s="1681"/>
      <c r="AG837" s="1681"/>
      <c r="AH837" s="1681"/>
      <c r="AI837" s="1681"/>
      <c r="AJ837" s="168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f>ROUNDDOWN(BC939*2,2)</f>
        <v>0</v>
      </c>
      <c r="BJ841" s="1679"/>
      <c r="BK841" s="1679"/>
      <c r="BL841" s="167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30">
        <v>2400</v>
      </c>
      <c r="X842" s="1530"/>
      <c r="Y842" s="1530"/>
      <c r="Z842" s="1530"/>
      <c r="AA842" s="1530"/>
      <c r="AB842" s="1530"/>
      <c r="AC842" s="153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30">
        <v>8200</v>
      </c>
      <c r="X843" s="1530"/>
      <c r="Y843" s="1530"/>
      <c r="Z843" s="1530"/>
      <c r="AA843" s="1530"/>
      <c r="AB843" s="1530"/>
      <c r="AC843" s="153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30">
        <v>15000</v>
      </c>
      <c r="X844" s="1530"/>
      <c r="Y844" s="1530"/>
      <c r="Z844" s="1530"/>
      <c r="AA844" s="1530"/>
      <c r="AB844" s="1530"/>
      <c r="AC844" s="1530"/>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30">
        <v>16400</v>
      </c>
      <c r="X845" s="1530"/>
      <c r="Y845" s="1530"/>
      <c r="Z845" s="1530"/>
      <c r="AA845" s="1530"/>
      <c r="AB845" s="1530"/>
      <c r="AC845" s="1530"/>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14" t="s">
        <v>2679</v>
      </c>
      <c r="N846" s="1615"/>
      <c r="O846" s="1615"/>
      <c r="P846" s="1615"/>
      <c r="Q846" s="1615"/>
      <c r="R846" s="1615"/>
      <c r="S846" s="1615"/>
      <c r="T846" s="1615"/>
      <c r="U846" s="1615"/>
      <c r="V846" s="1616"/>
      <c r="W846" s="1530">
        <v>41000</v>
      </c>
      <c r="X846" s="1530"/>
      <c r="Y846" s="1530"/>
      <c r="Z846" s="1530"/>
      <c r="AA846" s="1530"/>
      <c r="AB846" s="1530"/>
      <c r="AC846" s="1530"/>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662">
        <f>SUM(W842:AC846)</f>
        <v>83000</v>
      </c>
      <c r="X847" s="1663"/>
      <c r="Y847" s="1663"/>
      <c r="Z847" s="1663"/>
      <c r="AA847" s="1663"/>
      <c r="AB847" s="1663"/>
      <c r="AC847" s="166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73"/>
      <c r="BH848" s="1673"/>
      <c r="BI848" s="1673"/>
      <c r="BJ848" s="1673"/>
      <c r="BK848" s="1673"/>
      <c r="BL848" s="167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21" t="s">
        <v>345</v>
      </c>
      <c r="K849" s="1622"/>
      <c r="L849" s="1622"/>
      <c r="M849" s="1622"/>
      <c r="N849" s="1622"/>
      <c r="O849" s="1622"/>
      <c r="P849" s="1622"/>
      <c r="Q849" s="1622"/>
      <c r="R849" s="1622"/>
      <c r="S849" s="1622"/>
      <c r="T849" s="1622"/>
      <c r="U849" s="1622"/>
      <c r="V849" s="1623"/>
      <c r="W849" s="1428">
        <v>73800</v>
      </c>
      <c r="X849" s="1429"/>
      <c r="Y849" s="1429"/>
      <c r="Z849" s="1429"/>
      <c r="AA849" s="1429"/>
      <c r="AB849" s="1429"/>
      <c r="AC849" s="1430"/>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69"/>
      <c r="X851" s="1669"/>
      <c r="Y851" s="1669"/>
      <c r="Z851" s="1669"/>
      <c r="AA851" s="1669"/>
      <c r="AB851" s="1669"/>
      <c r="AC851" s="1669"/>
      <c r="AZ851" s="1750">
        <f>SUM(AZ818:AZ846)</f>
        <v>7.5000000000000011E-2</v>
      </c>
      <c r="BA851" s="1750"/>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69"/>
      <c r="X852" s="1669"/>
      <c r="Y852" s="1669"/>
      <c r="Z852" s="1669"/>
      <c r="AA852" s="1669"/>
      <c r="AB852" s="1669"/>
      <c r="AC852" s="166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69">
        <v>36900</v>
      </c>
      <c r="X853" s="1669"/>
      <c r="Y853" s="1669"/>
      <c r="Z853" s="1669"/>
      <c r="AA853" s="1669"/>
      <c r="AB853" s="1669"/>
      <c r="AC853" s="166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69">
        <v>41000</v>
      </c>
      <c r="X854" s="1669"/>
      <c r="Y854" s="1669"/>
      <c r="Z854" s="1669"/>
      <c r="AA854" s="1669"/>
      <c r="AB854" s="1669"/>
      <c r="AC854" s="166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31">
        <f>SUM(W851:AC854)</f>
        <v>77900</v>
      </c>
      <c r="X855" s="1731"/>
      <c r="Y855" s="1731"/>
      <c r="Z855" s="1731"/>
      <c r="AA855" s="1731"/>
      <c r="AB855" s="1731"/>
      <c r="AC855" s="173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65">
        <v>65000</v>
      </c>
      <c r="X857" s="1666"/>
      <c r="Y857" s="1666"/>
      <c r="Z857" s="1666"/>
      <c r="AA857" s="1666"/>
      <c r="AB857" s="1666"/>
      <c r="AC857" s="166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739">
        <v>1</v>
      </c>
      <c r="U858" s="1740"/>
      <c r="V858" s="174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65">
        <f>50000*1.5</f>
        <v>75000</v>
      </c>
      <c r="X859" s="1666"/>
      <c r="Y859" s="1666"/>
      <c r="Z859" s="1666"/>
      <c r="AA859" s="1666"/>
      <c r="AB859" s="1666"/>
      <c r="AC859" s="166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39">
        <v>1.5</v>
      </c>
      <c r="U860" s="1740"/>
      <c r="V860" s="174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14" t="s">
        <v>2680</v>
      </c>
      <c r="N861" s="1615"/>
      <c r="O861" s="1615"/>
      <c r="P861" s="1615"/>
      <c r="Q861" s="1615"/>
      <c r="R861" s="1615"/>
      <c r="S861" s="1615"/>
      <c r="T861" s="1615"/>
      <c r="U861" s="1615"/>
      <c r="V861" s="1616"/>
      <c r="W861" s="1665">
        <v>35000</v>
      </c>
      <c r="X861" s="1666"/>
      <c r="Y861" s="1666"/>
      <c r="Z861" s="1666"/>
      <c r="AA861" s="1666"/>
      <c r="AB861" s="1666"/>
      <c r="AC861" s="166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42">
        <f>SUM(W857:AC861)</f>
        <v>175000</v>
      </c>
      <c r="X862" s="1743"/>
      <c r="Y862" s="1743"/>
      <c r="Z862" s="1743"/>
      <c r="AA862" s="1743"/>
      <c r="AB862" s="1743"/>
      <c r="AC862" s="174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65">
        <v>123000</v>
      </c>
      <c r="X863" s="1666"/>
      <c r="Y863" s="1666"/>
      <c r="Z863" s="1666"/>
      <c r="AA863" s="1666"/>
      <c r="AB863" s="1666"/>
      <c r="AC863" s="1667"/>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30">
        <v>8200</v>
      </c>
      <c r="X865" s="1530"/>
      <c r="Y865" s="1530"/>
      <c r="Z865" s="1530"/>
      <c r="AA865" s="1530"/>
      <c r="AB865" s="1530"/>
      <c r="AC865" s="153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30">
        <v>16400</v>
      </c>
      <c r="X866" s="1530"/>
      <c r="Y866" s="1530"/>
      <c r="Z866" s="1530"/>
      <c r="AA866" s="1530"/>
      <c r="AB866" s="1530"/>
      <c r="AC866" s="153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30">
        <v>24600</v>
      </c>
      <c r="X867" s="1530"/>
      <c r="Y867" s="1530"/>
      <c r="Z867" s="1530"/>
      <c r="AA867" s="1530"/>
      <c r="AB867" s="1530"/>
      <c r="AC867" s="153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30">
        <v>12300</v>
      </c>
      <c r="X868" s="1530"/>
      <c r="Y868" s="1530"/>
      <c r="Z868" s="1530"/>
      <c r="AA868" s="1530"/>
      <c r="AB868" s="1530"/>
      <c r="AC868" s="153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30">
        <v>24600</v>
      </c>
      <c r="X869" s="1530"/>
      <c r="Y869" s="1530"/>
      <c r="Z869" s="1530"/>
      <c r="AA869" s="1530"/>
      <c r="AB869" s="1530"/>
      <c r="AC869" s="153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30">
        <v>9293</v>
      </c>
      <c r="X870" s="1530"/>
      <c r="Y870" s="1530"/>
      <c r="Z870" s="1530"/>
      <c r="AA870" s="1530"/>
      <c r="AB870" s="1530"/>
      <c r="AC870" s="153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14" t="s">
        <v>2681</v>
      </c>
      <c r="N871" s="1615"/>
      <c r="O871" s="1615"/>
      <c r="P871" s="1615"/>
      <c r="Q871" s="1615"/>
      <c r="R871" s="1615"/>
      <c r="S871" s="1615"/>
      <c r="T871" s="1615"/>
      <c r="U871" s="1615"/>
      <c r="V871" s="1616"/>
      <c r="W871" s="1530">
        <v>10250</v>
      </c>
      <c r="X871" s="1530"/>
      <c r="Y871" s="1530"/>
      <c r="Z871" s="1530"/>
      <c r="AA871" s="1530"/>
      <c r="AB871" s="1530"/>
      <c r="AC871" s="153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36">
        <f>SUM(W865:AC871)</f>
        <v>105643</v>
      </c>
      <c r="X872" s="1736"/>
      <c r="Y872" s="1736"/>
      <c r="Z872" s="1736"/>
      <c r="AA872" s="1736"/>
      <c r="AB872" s="1736"/>
      <c r="AC872" s="173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614" t="s">
        <v>334</v>
      </c>
      <c r="N874" s="1615"/>
      <c r="O874" s="1615"/>
      <c r="P874" s="1615"/>
      <c r="Q874" s="1615"/>
      <c r="R874" s="1615"/>
      <c r="S874" s="1615"/>
      <c r="T874" s="1615"/>
      <c r="U874" s="1615"/>
      <c r="V874" s="1616"/>
      <c r="W874" s="1428"/>
      <c r="X874" s="1429"/>
      <c r="Y874" s="1429"/>
      <c r="Z874" s="1429"/>
      <c r="AA874" s="1429"/>
      <c r="AB874" s="1429"/>
      <c r="AC874" s="143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614" t="s">
        <v>334</v>
      </c>
      <c r="N875" s="1615"/>
      <c r="O875" s="1615"/>
      <c r="P875" s="1615"/>
      <c r="Q875" s="1615"/>
      <c r="R875" s="1615"/>
      <c r="S875" s="1615"/>
      <c r="T875" s="1615"/>
      <c r="U875" s="1615"/>
      <c r="V875" s="1616"/>
      <c r="W875" s="1428"/>
      <c r="X875" s="1429"/>
      <c r="Y875" s="1429"/>
      <c r="Z875" s="1429"/>
      <c r="AA875" s="1429"/>
      <c r="AB875" s="1429"/>
      <c r="AC875" s="143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14" t="s">
        <v>334</v>
      </c>
      <c r="N876" s="1615"/>
      <c r="O876" s="1615"/>
      <c r="P876" s="1615"/>
      <c r="Q876" s="1615"/>
      <c r="R876" s="1615"/>
      <c r="S876" s="1615"/>
      <c r="T876" s="1615"/>
      <c r="U876" s="1615"/>
      <c r="V876" s="1616"/>
      <c r="W876" s="1428"/>
      <c r="X876" s="1429"/>
      <c r="Y876" s="1429"/>
      <c r="Z876" s="1429"/>
      <c r="AA876" s="1429"/>
      <c r="AB876" s="1429"/>
      <c r="AC876" s="143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14" t="s">
        <v>334</v>
      </c>
      <c r="N877" s="1615"/>
      <c r="O877" s="1615"/>
      <c r="P877" s="1615"/>
      <c r="Q877" s="1615"/>
      <c r="R877" s="1615"/>
      <c r="S877" s="1615"/>
      <c r="T877" s="1615"/>
      <c r="U877" s="1615"/>
      <c r="V877" s="1616"/>
      <c r="W877" s="1428"/>
      <c r="X877" s="1429"/>
      <c r="Y877" s="1429"/>
      <c r="Z877" s="1429"/>
      <c r="AA877" s="1429"/>
      <c r="AB877" s="1429"/>
      <c r="AC877" s="143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14" t="s">
        <v>334</v>
      </c>
      <c r="N878" s="1615"/>
      <c r="O878" s="1615"/>
      <c r="P878" s="1615"/>
      <c r="Q878" s="1615"/>
      <c r="R878" s="1615"/>
      <c r="S878" s="1615"/>
      <c r="T878" s="1615"/>
      <c r="U878" s="1615"/>
      <c r="V878" s="1616"/>
      <c r="W878" s="1428"/>
      <c r="X878" s="1429"/>
      <c r="Y878" s="1429"/>
      <c r="Z878" s="1429"/>
      <c r="AA878" s="1429"/>
      <c r="AB878" s="1429"/>
      <c r="AC878" s="143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662">
        <f>SUM(W874:AC878)</f>
        <v>0</v>
      </c>
      <c r="X879" s="1663"/>
      <c r="Y879" s="1663"/>
      <c r="Z879" s="1663"/>
      <c r="AA879" s="1663"/>
      <c r="AB879" s="1663"/>
      <c r="AC879" s="166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63">
        <f>W847+W855+W862+W863+W872+W879+W849</f>
        <v>638343</v>
      </c>
      <c r="AD883" s="1663"/>
      <c r="AE883" s="1663"/>
      <c r="AF883" s="1663"/>
      <c r="AG883" s="1663"/>
      <c r="AH883" s="166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7">
        <f>O797+O777+G753</f>
        <v>82</v>
      </c>
      <c r="AD884" s="1737"/>
      <c r="AE884" s="1737"/>
      <c r="AF884" s="1737"/>
      <c r="AG884" s="1737"/>
      <c r="AH884" s="17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0" t="s">
        <v>32</v>
      </c>
      <c r="F885" s="1660"/>
      <c r="G885" s="1660"/>
      <c r="H885" s="1660"/>
      <c r="I885" s="1660"/>
      <c r="J885" s="1660"/>
      <c r="K885" s="1660"/>
      <c r="L885" s="1660"/>
      <c r="M885" s="1660"/>
      <c r="N885" s="1660"/>
      <c r="O885" s="1660"/>
      <c r="P885" s="1660"/>
      <c r="Q885" s="1660"/>
      <c r="R885" s="1660"/>
      <c r="S885" s="1660"/>
      <c r="T885" s="1660"/>
      <c r="U885" s="1660"/>
      <c r="V885" s="1660"/>
      <c r="W885" s="1660"/>
      <c r="X885" s="1660"/>
      <c r="Y885" s="1660"/>
      <c r="Z885" s="1660"/>
      <c r="AA885" s="1660"/>
      <c r="AB885" s="1661"/>
      <c r="AC885" s="1736">
        <f>IF(ISERROR((ROUNDDOWN(AC883/AC884,0))),0,(ROUNDDOWN(AC883/AC884,0)))</f>
        <v>7784</v>
      </c>
      <c r="AD885" s="1736"/>
      <c r="AE885" s="1736"/>
      <c r="AF885" s="1736"/>
      <c r="AG885" s="1736"/>
      <c r="AH885" s="173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1">
        <v>339521</v>
      </c>
      <c r="AD886" s="1752"/>
      <c r="AE886" s="1752"/>
      <c r="AF886" s="1752"/>
      <c r="AG886" s="1752"/>
      <c r="AH886" s="175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30"/>
      <c r="AD887" s="1530"/>
      <c r="AE887" s="1530"/>
      <c r="AF887" s="1530"/>
      <c r="AG887" s="1530"/>
      <c r="AH887" s="153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29">
        <v>30000</v>
      </c>
      <c r="AD888" s="1429"/>
      <c r="AE888" s="1429"/>
      <c r="AF888" s="1429"/>
      <c r="AG888" s="1429"/>
      <c r="AH888" s="143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29">
        <v>32800</v>
      </c>
      <c r="AD889" s="1429"/>
      <c r="AE889" s="1429"/>
      <c r="AF889" s="1429"/>
      <c r="AG889" s="1429"/>
      <c r="AH889" s="143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77">
        <v>6139</v>
      </c>
      <c r="AD890" s="1478"/>
      <c r="AE890" s="1478"/>
      <c r="AF890" s="1478"/>
      <c r="AG890" s="1478"/>
      <c r="AH890" s="147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29">
        <v>21825</v>
      </c>
      <c r="AD891" s="1429"/>
      <c r="AE891" s="1429"/>
      <c r="AF891" s="1429"/>
      <c r="AG891" s="1429"/>
      <c r="AH891" s="143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29"/>
      <c r="AD892" s="1429"/>
      <c r="AE892" s="1429"/>
      <c r="AF892" s="1429"/>
      <c r="AG892" s="1429"/>
      <c r="AH892" s="143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46" t="s">
        <v>975</v>
      </c>
      <c r="D893" s="1747"/>
      <c r="E893" s="1747"/>
      <c r="F893" s="1747"/>
      <c r="G893" s="1747"/>
      <c r="H893" s="1747"/>
      <c r="I893" s="1747"/>
      <c r="J893" s="1747"/>
      <c r="K893" s="1747"/>
      <c r="L893" s="1747"/>
      <c r="M893" s="1747"/>
      <c r="N893" s="1747"/>
      <c r="O893" s="1747"/>
      <c r="P893" s="1747"/>
      <c r="Q893" s="1747"/>
      <c r="R893" s="1747"/>
      <c r="S893" s="1747"/>
      <c r="T893" s="1747"/>
      <c r="U893" s="1747"/>
      <c r="V893" s="1747"/>
      <c r="W893" s="1747"/>
      <c r="X893" s="1747"/>
      <c r="Y893" s="1747"/>
      <c r="Z893" s="1747"/>
      <c r="AA893" s="1747"/>
      <c r="AB893" s="1748"/>
      <c r="AC893" s="1530"/>
      <c r="AD893" s="1530"/>
      <c r="AE893" s="1530"/>
      <c r="AF893" s="1530"/>
      <c r="AG893" s="1530"/>
      <c r="AH893" s="153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46" t="s">
        <v>975</v>
      </c>
      <c r="D894" s="1747"/>
      <c r="E894" s="1747"/>
      <c r="F894" s="1747"/>
      <c r="G894" s="1747"/>
      <c r="H894" s="1747"/>
      <c r="I894" s="1747"/>
      <c r="J894" s="1747"/>
      <c r="K894" s="1747"/>
      <c r="L894" s="1747"/>
      <c r="M894" s="1747"/>
      <c r="N894" s="1747"/>
      <c r="O894" s="1747"/>
      <c r="P894" s="1747"/>
      <c r="Q894" s="1747"/>
      <c r="R894" s="1747"/>
      <c r="S894" s="1747"/>
      <c r="T894" s="1747"/>
      <c r="U894" s="1747"/>
      <c r="V894" s="1747"/>
      <c r="W894" s="1747"/>
      <c r="X894" s="1747"/>
      <c r="Y894" s="1747"/>
      <c r="Z894" s="1747"/>
      <c r="AA894" s="1747"/>
      <c r="AB894" s="1748"/>
      <c r="AC894" s="1530"/>
      <c r="AD894" s="1530"/>
      <c r="AE894" s="1530"/>
      <c r="AF894" s="1530"/>
      <c r="AG894" s="1530"/>
      <c r="AH894" s="153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428"/>
      <c r="AA898" s="1429"/>
      <c r="AB898" s="1429"/>
      <c r="AC898" s="1429"/>
      <c r="AD898" s="1429"/>
      <c r="AE898" s="1430"/>
      <c r="AF898" s="567"/>
      <c r="AZ898" s="34"/>
      <c r="BB898" s="30"/>
      <c r="BC898" s="850"/>
      <c r="BD898" s="1733"/>
      <c r="BE898" s="173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428"/>
      <c r="AA899" s="1429"/>
      <c r="AB899" s="1429"/>
      <c r="AC899" s="1429"/>
      <c r="AD899" s="1429"/>
      <c r="AE899" s="1430"/>
      <c r="AZ899" s="34"/>
      <c r="BB899" s="30"/>
      <c r="BC899" s="850"/>
      <c r="BD899" s="1733"/>
      <c r="BE899" s="173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428"/>
      <c r="AA900" s="1429"/>
      <c r="AB900" s="1429"/>
      <c r="AC900" s="1429"/>
      <c r="AD900" s="1429"/>
      <c r="AE900" s="1430"/>
      <c r="AZ900" s="34"/>
      <c r="BB900" s="30"/>
      <c r="BC900" s="850"/>
      <c r="BD900" s="1673"/>
      <c r="BE900" s="167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662">
        <f>Z898-(Z899+Z900)</f>
        <v>0</v>
      </c>
      <c r="AA901" s="1663"/>
      <c r="AB901" s="1663"/>
      <c r="AC901" s="1663"/>
      <c r="AD901" s="1663"/>
      <c r="AE901" s="1664"/>
      <c r="AZ901" s="34"/>
      <c r="BB901" s="30"/>
      <c r="BC901" s="850"/>
      <c r="BD901" s="1673"/>
      <c r="BE901" s="167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3"/>
      <c r="BE902" s="167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3"/>
      <c r="BE903" s="167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9"/>
      <c r="BE904" s="1749"/>
      <c r="BF904" s="17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9"/>
      <c r="BE905" s="1679"/>
      <c r="BF905" s="167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3"/>
      <c r="BE906" s="167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3"/>
      <c r="BE907" s="167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87" t="s">
        <v>96</v>
      </c>
      <c r="B909" s="1487"/>
      <c r="C909" s="1487"/>
      <c r="D909" s="1487"/>
      <c r="E909" s="1487"/>
      <c r="F909" s="1487"/>
      <c r="G909" s="1487"/>
      <c r="H909" s="1487"/>
      <c r="I909" s="1487"/>
      <c r="J909" s="1487"/>
      <c r="K909" s="1487"/>
      <c r="L909" s="1487"/>
      <c r="M909" s="1487"/>
      <c r="N909" s="1487"/>
      <c r="O909" s="1487"/>
      <c r="P909" s="1487"/>
      <c r="Q909" s="1487"/>
      <c r="R909" s="1487"/>
      <c r="S909" s="1487"/>
      <c r="T909" s="1487"/>
      <c r="U909" s="1487"/>
      <c r="V909" s="1487"/>
      <c r="W909" s="1487"/>
      <c r="X909" s="1487"/>
      <c r="Y909" s="1487"/>
      <c r="Z909" s="1487"/>
      <c r="AA909" s="1487"/>
      <c r="AB909" s="1487"/>
      <c r="AC909" s="1487"/>
      <c r="AD909" s="1487"/>
      <c r="AE909" s="1487"/>
      <c r="AF909" s="1487"/>
      <c r="AG909" s="1487"/>
      <c r="AH909" s="1487"/>
      <c r="AI909" s="1487"/>
      <c r="AJ909" s="1487"/>
      <c r="AK909" s="1487"/>
      <c r="AL909" s="1487"/>
      <c r="AM909" s="1487"/>
      <c r="AN909" s="1487"/>
      <c r="AO909" s="1487"/>
      <c r="AP909" s="1487"/>
      <c r="AQ909" s="1487"/>
      <c r="AR909" s="1487"/>
      <c r="AS909" s="1487"/>
      <c r="AT909" s="1487"/>
      <c r="AZ909" s="34"/>
      <c r="BA909" s="34"/>
      <c r="BB909" s="30"/>
      <c r="BC909" s="30"/>
      <c r="BD909" s="1733"/>
      <c r="BE909" s="167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87"/>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57" t="s">
        <v>801</v>
      </c>
      <c r="G914" s="1558"/>
      <c r="H914" s="1558"/>
      <c r="I914" s="1558"/>
      <c r="J914" s="1558"/>
      <c r="K914" s="1558"/>
      <c r="L914" s="1558"/>
      <c r="M914" s="1558"/>
      <c r="N914" s="1558"/>
      <c r="O914" s="1558"/>
      <c r="P914" s="1558"/>
      <c r="Q914" s="1558"/>
      <c r="R914" s="1558"/>
      <c r="S914" s="1558"/>
      <c r="T914" s="1559"/>
      <c r="U914" s="1606" t="s">
        <v>31</v>
      </c>
      <c r="V914" s="1607"/>
      <c r="W914" s="1607"/>
      <c r="X914" s="1607"/>
      <c r="Y914" s="1607"/>
      <c r="Z914" s="160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66" t="s">
        <v>827</v>
      </c>
      <c r="G915" s="1567"/>
      <c r="H915" s="1567"/>
      <c r="I915" s="1567"/>
      <c r="J915" s="1567"/>
      <c r="K915" s="1567"/>
      <c r="L915" s="1567"/>
      <c r="M915" s="1567"/>
      <c r="N915" s="1567"/>
      <c r="O915" s="1567"/>
      <c r="P915" s="1567"/>
      <c r="Q915" s="1567"/>
      <c r="R915" s="1567"/>
      <c r="S915" s="1567"/>
      <c r="T915" s="1568"/>
      <c r="U915" s="1566"/>
      <c r="V915" s="1567"/>
      <c r="W915" s="1567"/>
      <c r="X915" s="1567"/>
      <c r="Y915" s="1567"/>
      <c r="Z915" s="156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69"/>
      <c r="G916" s="1570"/>
      <c r="H916" s="1570"/>
      <c r="I916" s="1570"/>
      <c r="J916" s="1570"/>
      <c r="K916" s="1570"/>
      <c r="L916" s="1570"/>
      <c r="M916" s="1570"/>
      <c r="N916" s="1570"/>
      <c r="O916" s="1570"/>
      <c r="P916" s="1570"/>
      <c r="Q916" s="1570"/>
      <c r="R916" s="1570"/>
      <c r="S916" s="1570"/>
      <c r="T916" s="1571"/>
      <c r="U916" s="1569"/>
      <c r="V916" s="1570"/>
      <c r="W916" s="1570"/>
      <c r="X916" s="1570"/>
      <c r="Y916" s="1570"/>
      <c r="Z916" s="1570"/>
      <c r="AA916" s="108"/>
      <c r="AB916" s="1734" t="s">
        <v>391</v>
      </c>
      <c r="AC916" s="1734"/>
      <c r="AD916" s="1734"/>
      <c r="AE916" s="173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358" t="s">
        <v>553</v>
      </c>
      <c r="V917" s="1359"/>
      <c r="W917" s="1359"/>
      <c r="X917" s="1359"/>
      <c r="Y917" s="1359"/>
      <c r="Z917" s="1360"/>
      <c r="AA917" s="1355">
        <f>AM554+AM556</f>
        <v>41879799</v>
      </c>
      <c r="AB917" s="1356"/>
      <c r="AC917" s="1356"/>
      <c r="AD917" s="1356"/>
      <c r="AE917" s="1356"/>
      <c r="AF917" s="135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358" t="s">
        <v>553</v>
      </c>
      <c r="V918" s="1359"/>
      <c r="W918" s="1359"/>
      <c r="X918" s="1359"/>
      <c r="Y918" s="1359"/>
      <c r="Z918" s="1360"/>
      <c r="AA918" s="1355">
        <f>AM556</f>
        <v>12521146</v>
      </c>
      <c r="AB918" s="1356"/>
      <c r="AC918" s="1356"/>
      <c r="AD918" s="1356"/>
      <c r="AE918" s="1356"/>
      <c r="AF918" s="135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358" t="s">
        <v>599</v>
      </c>
      <c r="V919" s="1359"/>
      <c r="W919" s="1359"/>
      <c r="X919" s="1359"/>
      <c r="Y919" s="1359"/>
      <c r="Z919" s="1360"/>
      <c r="AA919" s="1355"/>
      <c r="AB919" s="1356"/>
      <c r="AC919" s="1356"/>
      <c r="AD919" s="1356"/>
      <c r="AE919" s="1356"/>
      <c r="AF919" s="135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358" t="s">
        <v>599</v>
      </c>
      <c r="V920" s="1359"/>
      <c r="W920" s="1359"/>
      <c r="X920" s="1359"/>
      <c r="Y920" s="1359"/>
      <c r="Z920" s="1360"/>
      <c r="AA920" s="1355"/>
      <c r="AB920" s="1356"/>
      <c r="AC920" s="1356"/>
      <c r="AD920" s="1356"/>
      <c r="AE920" s="1356"/>
      <c r="AF920" s="135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358" t="s">
        <v>599</v>
      </c>
      <c r="V921" s="1359"/>
      <c r="W921" s="1359"/>
      <c r="X921" s="1359"/>
      <c r="Y921" s="1359"/>
      <c r="Z921" s="1360"/>
      <c r="AA921" s="1355"/>
      <c r="AB921" s="1356"/>
      <c r="AC921" s="1356"/>
      <c r="AD921" s="1356"/>
      <c r="AE921" s="1356"/>
      <c r="AF921" s="135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358" t="s">
        <v>599</v>
      </c>
      <c r="V922" s="1359"/>
      <c r="W922" s="1359"/>
      <c r="X922" s="1359"/>
      <c r="Y922" s="1359"/>
      <c r="Z922" s="1360"/>
      <c r="AA922" s="1355"/>
      <c r="AB922" s="1356"/>
      <c r="AC922" s="1356"/>
      <c r="AD922" s="1356"/>
      <c r="AE922" s="1356"/>
      <c r="AF922" s="135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358" t="s">
        <v>599</v>
      </c>
      <c r="V923" s="1359"/>
      <c r="W923" s="1359"/>
      <c r="X923" s="1359"/>
      <c r="Y923" s="1359"/>
      <c r="Z923" s="1360"/>
      <c r="AA923" s="1355"/>
      <c r="AB923" s="1356"/>
      <c r="AC923" s="1356"/>
      <c r="AD923" s="1356"/>
      <c r="AE923" s="1356"/>
      <c r="AF923" s="135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358" t="s">
        <v>599</v>
      </c>
      <c r="V924" s="1359"/>
      <c r="W924" s="1359"/>
      <c r="X924" s="1359"/>
      <c r="Y924" s="1359"/>
      <c r="Z924" s="1360"/>
      <c r="AA924" s="1355"/>
      <c r="AB924" s="1356"/>
      <c r="AC924" s="1356"/>
      <c r="AD924" s="1356"/>
      <c r="AE924" s="1356"/>
      <c r="AF924" s="135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72" t="s">
        <v>2557</v>
      </c>
      <c r="G925" s="1573"/>
      <c r="H925" s="1573"/>
      <c r="I925" s="1573"/>
      <c r="J925" s="1573"/>
      <c r="K925" s="1573"/>
      <c r="L925" s="1573"/>
      <c r="M925" s="1573"/>
      <c r="N925" s="1573"/>
      <c r="O925" s="1573"/>
      <c r="P925" s="1573"/>
      <c r="Q925" s="1573"/>
      <c r="R925" s="1573"/>
      <c r="S925" s="1573"/>
      <c r="T925" s="1574"/>
      <c r="U925" s="1358" t="s">
        <v>599</v>
      </c>
      <c r="V925" s="1359"/>
      <c r="W925" s="1359"/>
      <c r="X925" s="1359"/>
      <c r="Y925" s="1359"/>
      <c r="Z925" s="1360"/>
      <c r="AA925" s="1355"/>
      <c r="AB925" s="1356"/>
      <c r="AC925" s="1356"/>
      <c r="AD925" s="1356"/>
      <c r="AE925" s="1356"/>
      <c r="AF925" s="135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72" t="s">
        <v>687</v>
      </c>
      <c r="G926" s="1573"/>
      <c r="H926" s="1573"/>
      <c r="I926" s="1573"/>
      <c r="J926" s="1573"/>
      <c r="K926" s="1573"/>
      <c r="L926" s="1573"/>
      <c r="M926" s="1573"/>
      <c r="N926" s="1573"/>
      <c r="O926" s="1573"/>
      <c r="P926" s="1573"/>
      <c r="Q926" s="1573"/>
      <c r="R926" s="1573"/>
      <c r="S926" s="1573"/>
      <c r="T926" s="1574"/>
      <c r="U926" s="1358" t="s">
        <v>599</v>
      </c>
      <c r="V926" s="1359"/>
      <c r="W926" s="1359"/>
      <c r="X926" s="1359"/>
      <c r="Y926" s="1359"/>
      <c r="Z926" s="1360"/>
      <c r="AA926" s="1355"/>
      <c r="AB926" s="1356"/>
      <c r="AC926" s="1356"/>
      <c r="AD926" s="1356"/>
      <c r="AE926" s="1356"/>
      <c r="AF926" s="135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72" t="s">
        <v>2558</v>
      </c>
      <c r="G927" s="1573"/>
      <c r="H927" s="1573"/>
      <c r="I927" s="1573"/>
      <c r="J927" s="1573"/>
      <c r="K927" s="1573"/>
      <c r="L927" s="1573"/>
      <c r="M927" s="1573"/>
      <c r="N927" s="1573"/>
      <c r="O927" s="1573"/>
      <c r="P927" s="1573"/>
      <c r="Q927" s="1573"/>
      <c r="R927" s="1573"/>
      <c r="S927" s="1573"/>
      <c r="T927" s="1574"/>
      <c r="U927" s="1358" t="s">
        <v>599</v>
      </c>
      <c r="V927" s="1359"/>
      <c r="W927" s="1359"/>
      <c r="X927" s="1359"/>
      <c r="Y927" s="1359"/>
      <c r="Z927" s="1360"/>
      <c r="AA927" s="1355"/>
      <c r="AB927" s="1356"/>
      <c r="AC927" s="1356"/>
      <c r="AD927" s="1356"/>
      <c r="AE927" s="1356"/>
      <c r="AF927" s="135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72" t="s">
        <v>2559</v>
      </c>
      <c r="G928" s="1573"/>
      <c r="H928" s="1573"/>
      <c r="I928" s="1573"/>
      <c r="J928" s="1573"/>
      <c r="K928" s="1573"/>
      <c r="L928" s="1573"/>
      <c r="M928" s="1573"/>
      <c r="N928" s="1573"/>
      <c r="O928" s="1573"/>
      <c r="P928" s="1573"/>
      <c r="Q928" s="1573"/>
      <c r="R928" s="1573"/>
      <c r="S928" s="1573"/>
      <c r="T928" s="1574"/>
      <c r="U928" s="1358" t="s">
        <v>599</v>
      </c>
      <c r="V928" s="1359"/>
      <c r="W928" s="1359"/>
      <c r="X928" s="1359"/>
      <c r="Y928" s="1359"/>
      <c r="Z928" s="1360"/>
      <c r="AA928" s="1355"/>
      <c r="AB928" s="1356"/>
      <c r="AC928" s="1356"/>
      <c r="AD928" s="1356"/>
      <c r="AE928" s="1356"/>
      <c r="AF928" s="135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72" t="s">
        <v>2560</v>
      </c>
      <c r="G929" s="1573"/>
      <c r="H929" s="1573"/>
      <c r="I929" s="1573"/>
      <c r="J929" s="1573"/>
      <c r="K929" s="1573"/>
      <c r="L929" s="1573"/>
      <c r="M929" s="1573"/>
      <c r="N929" s="1573"/>
      <c r="O929" s="1573"/>
      <c r="P929" s="1573"/>
      <c r="Q929" s="1573"/>
      <c r="R929" s="1573"/>
      <c r="S929" s="1573"/>
      <c r="T929" s="1574"/>
      <c r="U929" s="1358" t="s">
        <v>599</v>
      </c>
      <c r="V929" s="1359"/>
      <c r="W929" s="1359"/>
      <c r="X929" s="1359"/>
      <c r="Y929" s="1359"/>
      <c r="Z929" s="1360"/>
      <c r="AA929" s="1355"/>
      <c r="AB929" s="1356"/>
      <c r="AC929" s="1356"/>
      <c r="AD929" s="1356"/>
      <c r="AE929" s="1356"/>
      <c r="AF929" s="135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72" t="s">
        <v>2561</v>
      </c>
      <c r="G930" s="1573"/>
      <c r="H930" s="1573"/>
      <c r="I930" s="1573"/>
      <c r="J930" s="1573"/>
      <c r="K930" s="1573"/>
      <c r="L930" s="1573"/>
      <c r="M930" s="1573"/>
      <c r="N930" s="1573"/>
      <c r="O930" s="1573"/>
      <c r="P930" s="1573"/>
      <c r="Q930" s="1573"/>
      <c r="R930" s="1573"/>
      <c r="S930" s="1573"/>
      <c r="T930" s="1574"/>
      <c r="U930" s="1358" t="s">
        <v>599</v>
      </c>
      <c r="V930" s="1359"/>
      <c r="W930" s="1359"/>
      <c r="X930" s="1359"/>
      <c r="Y930" s="1359"/>
      <c r="Z930" s="1360"/>
      <c r="AA930" s="1355"/>
      <c r="AB930" s="1356"/>
      <c r="AC930" s="1356"/>
      <c r="AD930" s="1356"/>
      <c r="AE930" s="1356"/>
      <c r="AF930" s="135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72" t="s">
        <v>2562</v>
      </c>
      <c r="G931" s="1573"/>
      <c r="H931" s="1573"/>
      <c r="I931" s="1573"/>
      <c r="J931" s="1573"/>
      <c r="K931" s="1573"/>
      <c r="L931" s="1573"/>
      <c r="M931" s="1573"/>
      <c r="N931" s="1573"/>
      <c r="O931" s="1573"/>
      <c r="P931" s="1573"/>
      <c r="Q931" s="1573"/>
      <c r="R931" s="1573"/>
      <c r="S931" s="1573"/>
      <c r="T931" s="1574"/>
      <c r="U931" s="1358" t="s">
        <v>599</v>
      </c>
      <c r="V931" s="1359"/>
      <c r="W931" s="1359"/>
      <c r="X931" s="1359"/>
      <c r="Y931" s="1359"/>
      <c r="Z931" s="1360"/>
      <c r="AA931" s="1355"/>
      <c r="AB931" s="1356"/>
      <c r="AC931" s="1356"/>
      <c r="AD931" s="1356"/>
      <c r="AE931" s="1356"/>
      <c r="AF931" s="135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358" t="s">
        <v>599</v>
      </c>
      <c r="V932" s="1359"/>
      <c r="W932" s="1359"/>
      <c r="X932" s="1359"/>
      <c r="Y932" s="1359"/>
      <c r="Z932" s="1360"/>
      <c r="AA932" s="1355"/>
      <c r="AB932" s="1356"/>
      <c r="AC932" s="1356"/>
      <c r="AD932" s="1356"/>
      <c r="AE932" s="1356"/>
      <c r="AF932" s="135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358" t="s">
        <v>599</v>
      </c>
      <c r="V933" s="1359"/>
      <c r="W933" s="1359"/>
      <c r="X933" s="1359"/>
      <c r="Y933" s="1359"/>
      <c r="Z933" s="1360"/>
      <c r="AA933" s="1355"/>
      <c r="AB933" s="1356"/>
      <c r="AC933" s="1356"/>
      <c r="AD933" s="1356"/>
      <c r="AE933" s="1356"/>
      <c r="AF933" s="135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358" t="s">
        <v>599</v>
      </c>
      <c r="V934" s="1359"/>
      <c r="W934" s="1359"/>
      <c r="X934" s="1359"/>
      <c r="Y934" s="1359"/>
      <c r="Z934" s="1360"/>
      <c r="AA934" s="1355"/>
      <c r="AB934" s="1356"/>
      <c r="AC934" s="1356"/>
      <c r="AD934" s="1356"/>
      <c r="AE934" s="1356"/>
      <c r="AF934" s="135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78" t="s">
        <v>2566</v>
      </c>
      <c r="G935" s="1579"/>
      <c r="H935" s="1579"/>
      <c r="I935" s="1579"/>
      <c r="J935" s="1579"/>
      <c r="K935" s="1579"/>
      <c r="L935" s="1579"/>
      <c r="M935" s="1579"/>
      <c r="N935" s="1579"/>
      <c r="O935" s="1579"/>
      <c r="P935" s="1579"/>
      <c r="Q935" s="1579"/>
      <c r="R935" s="1579"/>
      <c r="S935" s="1579"/>
      <c r="T935" s="1580"/>
      <c r="U935" s="1358" t="s">
        <v>599</v>
      </c>
      <c r="V935" s="1359"/>
      <c r="W935" s="1359"/>
      <c r="X935" s="1359"/>
      <c r="Y935" s="1359"/>
      <c r="Z935" s="1360"/>
      <c r="AA935" s="1355"/>
      <c r="AB935" s="1356"/>
      <c r="AC935" s="1356"/>
      <c r="AD935" s="1356"/>
      <c r="AE935" s="1356"/>
      <c r="AF935" s="135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78" t="s">
        <v>2567</v>
      </c>
      <c r="G936" s="1579"/>
      <c r="H936" s="1579"/>
      <c r="I936" s="1579"/>
      <c r="J936" s="1579"/>
      <c r="K936" s="1579"/>
      <c r="L936" s="1579"/>
      <c r="M936" s="1579"/>
      <c r="N936" s="1579"/>
      <c r="O936" s="1579"/>
      <c r="P936" s="1579"/>
      <c r="Q936" s="1579"/>
      <c r="R936" s="1579"/>
      <c r="S936" s="1579"/>
      <c r="T936" s="1580"/>
      <c r="U936" s="1358" t="s">
        <v>599</v>
      </c>
      <c r="V936" s="1359"/>
      <c r="W936" s="1359"/>
      <c r="X936" s="1359"/>
      <c r="Y936" s="1359"/>
      <c r="Z936" s="1360"/>
      <c r="AA936" s="1355"/>
      <c r="AB936" s="1356"/>
      <c r="AC936" s="1356"/>
      <c r="AD936" s="1356"/>
      <c r="AE936" s="1356"/>
      <c r="AF936" s="135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72" t="s">
        <v>2563</v>
      </c>
      <c r="G937" s="1573"/>
      <c r="H937" s="1573"/>
      <c r="I937" s="1573"/>
      <c r="J937" s="1573"/>
      <c r="K937" s="1573"/>
      <c r="L937" s="1573"/>
      <c r="M937" s="1573"/>
      <c r="N937" s="1573"/>
      <c r="O937" s="1573"/>
      <c r="P937" s="1573"/>
      <c r="Q937" s="1573"/>
      <c r="R937" s="1573"/>
      <c r="S937" s="1573"/>
      <c r="T937" s="1574"/>
      <c r="U937" s="1358" t="s">
        <v>599</v>
      </c>
      <c r="V937" s="1359"/>
      <c r="W937" s="1359"/>
      <c r="X937" s="1359"/>
      <c r="Y937" s="1359"/>
      <c r="Z937" s="1360"/>
      <c r="AA937" s="1355"/>
      <c r="AB937" s="1356"/>
      <c r="AC937" s="1356"/>
      <c r="AD937" s="1356"/>
      <c r="AE937" s="1356"/>
      <c r="AF937" s="135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72" t="s">
        <v>2564</v>
      </c>
      <c r="G938" s="1573"/>
      <c r="H938" s="1573"/>
      <c r="I938" s="1573"/>
      <c r="J938" s="1573"/>
      <c r="K938" s="1573"/>
      <c r="L938" s="1573"/>
      <c r="M938" s="1573"/>
      <c r="N938" s="1573"/>
      <c r="O938" s="1573"/>
      <c r="P938" s="1573"/>
      <c r="Q938" s="1573"/>
      <c r="R938" s="1573"/>
      <c r="S938" s="1573"/>
      <c r="T938" s="1574"/>
      <c r="U938" s="1358" t="s">
        <v>599</v>
      </c>
      <c r="V938" s="1359"/>
      <c r="W938" s="1359"/>
      <c r="X938" s="1359"/>
      <c r="Y938" s="1359"/>
      <c r="Z938" s="136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72" t="s">
        <v>2565</v>
      </c>
      <c r="G939" s="1573"/>
      <c r="H939" s="1573"/>
      <c r="I939" s="1573"/>
      <c r="J939" s="1573"/>
      <c r="K939" s="1573"/>
      <c r="L939" s="1573"/>
      <c r="M939" s="1573"/>
      <c r="N939" s="1573"/>
      <c r="O939" s="1573"/>
      <c r="P939" s="1573"/>
      <c r="Q939" s="1573"/>
      <c r="R939" s="1573"/>
      <c r="S939" s="1573"/>
      <c r="T939" s="1574"/>
      <c r="U939" s="1358" t="s">
        <v>599</v>
      </c>
      <c r="V939" s="1359"/>
      <c r="W939" s="1359"/>
      <c r="X939" s="1359"/>
      <c r="Y939" s="1359"/>
      <c r="Z939" s="136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358" t="s">
        <v>599</v>
      </c>
      <c r="V940" s="1359"/>
      <c r="W940" s="1359"/>
      <c r="X940" s="1359"/>
      <c r="Y940" s="1359"/>
      <c r="Z940" s="1360"/>
      <c r="AA940" s="1355"/>
      <c r="AB940" s="1356"/>
      <c r="AC940" s="1356"/>
      <c r="AD940" s="1356"/>
      <c r="AE940" s="1356"/>
      <c r="AF940" s="135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78" t="s">
        <v>2568</v>
      </c>
      <c r="G941" s="1579"/>
      <c r="H941" s="1579"/>
      <c r="I941" s="1579"/>
      <c r="J941" s="1579"/>
      <c r="K941" s="1579"/>
      <c r="L941" s="1579"/>
      <c r="M941" s="1579"/>
      <c r="N941" s="1579"/>
      <c r="O941" s="1579"/>
      <c r="P941" s="1579"/>
      <c r="Q941" s="1579"/>
      <c r="R941" s="1579"/>
      <c r="S941" s="1579"/>
      <c r="T941" s="1580"/>
      <c r="U941" s="1358" t="s">
        <v>599</v>
      </c>
      <c r="V941" s="1359"/>
      <c r="W941" s="1359"/>
      <c r="X941" s="1359"/>
      <c r="Y941" s="1359"/>
      <c r="Z941" s="1360"/>
      <c r="AA941" s="1355"/>
      <c r="AB941" s="1356"/>
      <c r="AC941" s="1356"/>
      <c r="AD941" s="1356"/>
      <c r="AE941" s="1356"/>
      <c r="AF941" s="135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358" t="s">
        <v>599</v>
      </c>
      <c r="V942" s="1359"/>
      <c r="W942" s="1359"/>
      <c r="X942" s="1359"/>
      <c r="Y942" s="1359"/>
      <c r="Z942" s="1360"/>
      <c r="AA942" s="1355"/>
      <c r="AB942" s="1356"/>
      <c r="AC942" s="1356"/>
      <c r="AD942" s="1356"/>
      <c r="AE942" s="1356"/>
      <c r="AF942" s="135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78" t="s">
        <v>2569</v>
      </c>
      <c r="G943" s="1579"/>
      <c r="H943" s="1579"/>
      <c r="I943" s="1579"/>
      <c r="J943" s="1579"/>
      <c r="K943" s="1579"/>
      <c r="L943" s="1579"/>
      <c r="M943" s="1579"/>
      <c r="N943" s="1579"/>
      <c r="O943" s="1579"/>
      <c r="P943" s="1579"/>
      <c r="Q943" s="1579"/>
      <c r="R943" s="1579"/>
      <c r="S943" s="1579"/>
      <c r="T943" s="1580"/>
      <c r="U943" s="1358" t="s">
        <v>599</v>
      </c>
      <c r="V943" s="1359"/>
      <c r="W943" s="1359"/>
      <c r="X943" s="1359"/>
      <c r="Y943" s="1359"/>
      <c r="Z943" s="1360"/>
      <c r="AA943" s="1355"/>
      <c r="AB943" s="1356"/>
      <c r="AC943" s="1356"/>
      <c r="AD943" s="1356"/>
      <c r="AE943" s="1356"/>
      <c r="AF943" s="135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358" t="s">
        <v>677</v>
      </c>
      <c r="Q944" s="1359"/>
      <c r="R944" s="1359"/>
      <c r="S944" s="1359"/>
      <c r="T944" s="1360"/>
      <c r="U944" s="1358" t="s">
        <v>599</v>
      </c>
      <c r="V944" s="1359"/>
      <c r="W944" s="1359"/>
      <c r="X944" s="1359"/>
      <c r="Y944" s="1359"/>
      <c r="Z944" s="1360"/>
      <c r="AA944" s="1355"/>
      <c r="AB944" s="1356"/>
      <c r="AC944" s="1356"/>
      <c r="AD944" s="1356"/>
      <c r="AE944" s="1356"/>
      <c r="AF944" s="135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72" t="s">
        <v>2556</v>
      </c>
      <c r="G945" s="1573"/>
      <c r="H945" s="1574"/>
      <c r="I945" s="1614" t="s">
        <v>334</v>
      </c>
      <c r="J945" s="1615"/>
      <c r="K945" s="1615"/>
      <c r="L945" s="1615"/>
      <c r="M945" s="1615"/>
      <c r="N945" s="1615"/>
      <c r="O945" s="1615"/>
      <c r="P945" s="1615"/>
      <c r="Q945" s="1615"/>
      <c r="R945" s="1615"/>
      <c r="S945" s="1615"/>
      <c r="T945" s="1616"/>
      <c r="U945" s="1358" t="s">
        <v>599</v>
      </c>
      <c r="V945" s="1359"/>
      <c r="W945" s="1359"/>
      <c r="X945" s="1359"/>
      <c r="Y945" s="1359"/>
      <c r="Z945" s="1360"/>
      <c r="AA945" s="1355"/>
      <c r="AB945" s="1356"/>
      <c r="AC945" s="1356"/>
      <c r="AD945" s="1356"/>
      <c r="AE945" s="1356"/>
      <c r="AF945" s="135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4" t="str">
        <f>C555</f>
        <v>HCD Housing Development Fund</v>
      </c>
      <c r="J946" s="1615"/>
      <c r="K946" s="1615"/>
      <c r="L946" s="1615"/>
      <c r="M946" s="1615"/>
      <c r="N946" s="1615"/>
      <c r="O946" s="1615"/>
      <c r="P946" s="1615"/>
      <c r="Q946" s="1615"/>
      <c r="R946" s="1615"/>
      <c r="S946" s="1615"/>
      <c r="T946" s="1616"/>
      <c r="U946" s="1358" t="s">
        <v>677</v>
      </c>
      <c r="V946" s="1359"/>
      <c r="W946" s="1359"/>
      <c r="X946" s="1359"/>
      <c r="Y946" s="1359"/>
      <c r="Z946" s="1360"/>
      <c r="AA946" s="1355">
        <f>AM555</f>
        <v>3000000</v>
      </c>
      <c r="AB946" s="1356"/>
      <c r="AC946" s="1356"/>
      <c r="AD946" s="1356"/>
      <c r="AE946" s="1356"/>
      <c r="AF946" s="135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60" t="s">
        <v>334</v>
      </c>
      <c r="J947" s="1561"/>
      <c r="K947" s="1561"/>
      <c r="L947" s="1561"/>
      <c r="M947" s="1561"/>
      <c r="N947" s="1561"/>
      <c r="O947" s="1561"/>
      <c r="P947" s="1561"/>
      <c r="Q947" s="1561"/>
      <c r="R947" s="1561"/>
      <c r="S947" s="1561"/>
      <c r="T947" s="1562"/>
      <c r="U947" s="1358" t="s">
        <v>599</v>
      </c>
      <c r="V947" s="1359"/>
      <c r="W947" s="1359"/>
      <c r="X947" s="1359"/>
      <c r="Y947" s="1359"/>
      <c r="Z947" s="1360"/>
      <c r="AA947" s="1355"/>
      <c r="AB947" s="1356"/>
      <c r="AC947" s="1356"/>
      <c r="AD947" s="1356"/>
      <c r="AE947" s="1356"/>
      <c r="AF947" s="135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60" t="s">
        <v>334</v>
      </c>
      <c r="J948" s="1561"/>
      <c r="K948" s="1561"/>
      <c r="L948" s="1561"/>
      <c r="M948" s="1561"/>
      <c r="N948" s="1561"/>
      <c r="O948" s="1561"/>
      <c r="P948" s="1561"/>
      <c r="Q948" s="1561"/>
      <c r="R948" s="1561"/>
      <c r="S948" s="1561"/>
      <c r="T948" s="1562"/>
      <c r="U948" s="1358" t="s">
        <v>599</v>
      </c>
      <c r="V948" s="1359"/>
      <c r="W948" s="1359"/>
      <c r="X948" s="1359"/>
      <c r="Y948" s="1359"/>
      <c r="Z948" s="1360"/>
      <c r="AA948" s="1355"/>
      <c r="AB948" s="1356"/>
      <c r="AC948" s="1356"/>
      <c r="AD948" s="1356"/>
      <c r="AE948" s="1356"/>
      <c r="AF948" s="135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60" t="s">
        <v>334</v>
      </c>
      <c r="J949" s="1561"/>
      <c r="K949" s="1561"/>
      <c r="L949" s="1561"/>
      <c r="M949" s="1561"/>
      <c r="N949" s="1561"/>
      <c r="O949" s="1561"/>
      <c r="P949" s="1561"/>
      <c r="Q949" s="1561"/>
      <c r="R949" s="1561"/>
      <c r="S949" s="1561"/>
      <c r="T949" s="1562"/>
      <c r="U949" s="1358" t="s">
        <v>599</v>
      </c>
      <c r="V949" s="1359"/>
      <c r="W949" s="1359"/>
      <c r="X949" s="1359"/>
      <c r="Y949" s="1359"/>
      <c r="Z949" s="1360"/>
      <c r="AA949" s="1355"/>
      <c r="AB949" s="1356"/>
      <c r="AC949" s="1356"/>
      <c r="AD949" s="1356"/>
      <c r="AE949" s="1356"/>
      <c r="AF949" s="135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563"/>
      <c r="N954" s="1564"/>
      <c r="O954" s="1564"/>
      <c r="P954" s="1564"/>
      <c r="Q954" s="1564"/>
      <c r="R954" s="1564"/>
      <c r="S954" s="1565"/>
      <c r="U954" s="66" t="s">
        <v>11</v>
      </c>
      <c r="V954" s="5"/>
      <c r="W954" s="5"/>
      <c r="X954" s="5"/>
      <c r="Y954" s="5"/>
      <c r="Z954" s="5"/>
      <c r="AA954" s="5"/>
      <c r="AB954" s="5"/>
      <c r="AC954" s="5"/>
      <c r="AD954" s="46"/>
      <c r="AE954" s="1563"/>
      <c r="AF954" s="1564"/>
      <c r="AG954" s="1564"/>
      <c r="AH954" s="1564"/>
      <c r="AI954" s="1564"/>
      <c r="AJ954" s="1564"/>
      <c r="AK954" s="156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08"/>
      <c r="N955" s="1698"/>
      <c r="O955" s="1698"/>
      <c r="P955" s="1698"/>
      <c r="Q955" s="1698"/>
      <c r="R955" s="1698"/>
      <c r="S955" s="1732"/>
      <c r="U955" s="66" t="s">
        <v>12</v>
      </c>
      <c r="V955" s="5"/>
      <c r="W955" s="5"/>
      <c r="X955" s="5"/>
      <c r="Y955" s="5"/>
      <c r="Z955" s="5"/>
      <c r="AA955" s="5"/>
      <c r="AB955" s="5"/>
      <c r="AC955" s="5"/>
      <c r="AD955" s="46"/>
      <c r="AE955" s="1708"/>
      <c r="AF955" s="1698"/>
      <c r="AG955" s="1698"/>
      <c r="AH955" s="1698"/>
      <c r="AI955" s="1698"/>
      <c r="AJ955" s="1698"/>
      <c r="AK955" s="173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406" t="s">
        <v>307</v>
      </c>
      <c r="K956" s="1407"/>
      <c r="L956" s="1407"/>
      <c r="M956" s="1407"/>
      <c r="N956" s="1407"/>
      <c r="O956" s="1407"/>
      <c r="P956" s="1407"/>
      <c r="Q956" s="1407"/>
      <c r="R956" s="1407"/>
      <c r="S956" s="1408"/>
      <c r="U956" s="66" t="s">
        <v>892</v>
      </c>
      <c r="V956" s="5"/>
      <c r="W956" s="5"/>
      <c r="AB956" s="1406" t="s">
        <v>307</v>
      </c>
      <c r="AC956" s="1407"/>
      <c r="AD956" s="1407"/>
      <c r="AE956" s="1407"/>
      <c r="AF956" s="1407"/>
      <c r="AG956" s="1407"/>
      <c r="AH956" s="1407"/>
      <c r="AI956" s="1407"/>
      <c r="AJ956" s="1407"/>
      <c r="AK956" s="140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35"/>
      <c r="N957" s="1671"/>
      <c r="O957" s="1671"/>
      <c r="P957" s="1671"/>
      <c r="Q957" s="1671"/>
      <c r="R957" s="1671"/>
      <c r="S957" s="1672"/>
      <c r="U957" s="66" t="s">
        <v>13</v>
      </c>
      <c r="V957" s="5"/>
      <c r="W957" s="5"/>
      <c r="X957" s="5"/>
      <c r="Y957" s="5"/>
      <c r="Z957" s="5"/>
      <c r="AA957" s="5"/>
      <c r="AB957" s="5"/>
      <c r="AC957" s="5"/>
      <c r="AD957" s="46"/>
      <c r="AE957" s="1670"/>
      <c r="AF957" s="1671"/>
      <c r="AG957" s="1671"/>
      <c r="AH957" s="1671"/>
      <c r="AI957" s="1671"/>
      <c r="AJ957" s="1671"/>
      <c r="AK957" s="167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28"/>
      <c r="N958" s="1629"/>
      <c r="O958" s="1629"/>
      <c r="P958" s="1629"/>
      <c r="Q958" s="1629"/>
      <c r="R958" s="1629"/>
      <c r="S958" s="1630"/>
      <c r="U958" s="66" t="s">
        <v>14</v>
      </c>
      <c r="V958" s="5"/>
      <c r="W958" s="5"/>
      <c r="X958" s="5"/>
      <c r="Y958" s="5"/>
      <c r="Z958" s="5"/>
      <c r="AA958" s="5"/>
      <c r="AB958" s="5"/>
      <c r="AC958" s="5"/>
      <c r="AD958" s="46"/>
      <c r="AE958" s="1628"/>
      <c r="AF958" s="1629"/>
      <c r="AG958" s="1629"/>
      <c r="AH958" s="1629"/>
      <c r="AI958" s="1629"/>
      <c r="AJ958" s="1629"/>
      <c r="AK958" s="163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355"/>
      <c r="N959" s="1356"/>
      <c r="O959" s="1356"/>
      <c r="P959" s="1356"/>
      <c r="Q959" s="1356"/>
      <c r="R959" s="1356"/>
      <c r="S959" s="1357"/>
      <c r="U959" s="66" t="s">
        <v>15</v>
      </c>
      <c r="V959" s="5"/>
      <c r="W959" s="5"/>
      <c r="X959" s="5"/>
      <c r="Y959" s="5"/>
      <c r="Z959" s="5"/>
      <c r="AA959" s="5"/>
      <c r="AB959" s="5"/>
      <c r="AC959" s="5"/>
      <c r="AD959" s="46"/>
      <c r="AE959" s="1355"/>
      <c r="AF959" s="1356"/>
      <c r="AG959" s="1356"/>
      <c r="AH959" s="1356"/>
      <c r="AI959" s="1356"/>
      <c r="AJ959" s="1356"/>
      <c r="AK959" s="135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355"/>
      <c r="N960" s="1356"/>
      <c r="O960" s="1356"/>
      <c r="P960" s="1356"/>
      <c r="Q960" s="1356"/>
      <c r="R960" s="1356"/>
      <c r="S960" s="1357"/>
      <c r="U960" s="66" t="s">
        <v>16</v>
      </c>
      <c r="V960" s="5"/>
      <c r="W960" s="5"/>
      <c r="X960" s="5"/>
      <c r="Y960" s="5"/>
      <c r="Z960" s="5"/>
      <c r="AA960" s="5"/>
      <c r="AB960" s="5"/>
      <c r="AC960" s="5"/>
      <c r="AD960" s="46"/>
      <c r="AE960" s="1355"/>
      <c r="AF960" s="1356"/>
      <c r="AG960" s="1356"/>
      <c r="AH960" s="1356"/>
      <c r="AI960" s="1356"/>
      <c r="AJ960" s="1356"/>
      <c r="AK960" s="135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575"/>
      <c r="N961" s="1576"/>
      <c r="O961" s="1576"/>
      <c r="P961" s="1576"/>
      <c r="Q961" s="1576"/>
      <c r="R961" s="1576"/>
      <c r="S961" s="1577"/>
      <c r="U961" s="121" t="s">
        <v>1775</v>
      </c>
      <c r="V961" s="5"/>
      <c r="W961" s="5"/>
      <c r="X961" s="5"/>
      <c r="Y961" s="5"/>
      <c r="Z961" s="5"/>
      <c r="AA961" s="5"/>
      <c r="AB961" s="5"/>
      <c r="AC961" s="5"/>
      <c r="AD961" s="46"/>
      <c r="AE961" s="1575"/>
      <c r="AF961" s="1576"/>
      <c r="AG961" s="1576"/>
      <c r="AH961" s="1576"/>
      <c r="AI961" s="1576"/>
      <c r="AJ961" s="1576"/>
      <c r="AK961" s="157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361"/>
      <c r="N966" s="1362"/>
      <c r="O966" s="1362"/>
      <c r="P966" s="1362"/>
      <c r="Q966" s="1362"/>
      <c r="R966" s="1362"/>
      <c r="S966" s="1363"/>
      <c r="T966" s="66" t="s">
        <v>799</v>
      </c>
      <c r="U966" s="5"/>
      <c r="V966" s="5"/>
      <c r="W966" s="5"/>
      <c r="X966" s="5"/>
      <c r="Y966" s="5"/>
      <c r="Z966" s="46"/>
      <c r="AA966" s="1361"/>
      <c r="AB966" s="1362"/>
      <c r="AC966" s="1362"/>
      <c r="AD966" s="1362"/>
      <c r="AE966" s="1362"/>
      <c r="AF966" s="1362"/>
      <c r="AG966" s="13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361"/>
      <c r="N967" s="1362"/>
      <c r="O967" s="1362"/>
      <c r="P967" s="1362"/>
      <c r="Q967" s="1362"/>
      <c r="R967" s="1362"/>
      <c r="S967" s="1363"/>
      <c r="T967" s="66" t="s">
        <v>798</v>
      </c>
      <c r="U967" s="5"/>
      <c r="V967" s="5"/>
      <c r="W967" s="5"/>
      <c r="X967" s="5"/>
      <c r="Y967" s="5"/>
      <c r="Z967" s="46"/>
      <c r="AA967" s="1361"/>
      <c r="AB967" s="1362"/>
      <c r="AC967" s="1362"/>
      <c r="AD967" s="1362"/>
      <c r="AE967" s="1362"/>
      <c r="AF967" s="1362"/>
      <c r="AG967" s="13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28" t="s">
        <v>599</v>
      </c>
      <c r="N968" s="1729"/>
      <c r="O968" s="1729"/>
      <c r="P968" s="1729"/>
      <c r="Q968" s="1729"/>
      <c r="R968" s="1729"/>
      <c r="S968" s="1730"/>
      <c r="T968" s="45" t="s">
        <v>337</v>
      </c>
      <c r="U968" s="5"/>
      <c r="V968" s="5"/>
      <c r="W968" s="5"/>
      <c r="X968" s="5"/>
      <c r="Y968" s="5"/>
      <c r="Z968" s="46"/>
      <c r="AA968" s="1361"/>
      <c r="AB968" s="1362"/>
      <c r="AC968" s="1362"/>
      <c r="AD968" s="1362"/>
      <c r="AE968" s="1362"/>
      <c r="AF968" s="1362"/>
      <c r="AG968" s="13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361"/>
      <c r="N969" s="1362"/>
      <c r="O969" s="1362"/>
      <c r="P969" s="1362"/>
      <c r="Q969" s="1362"/>
      <c r="R969" s="1362"/>
      <c r="S969" s="1363"/>
      <c r="T969" s="45" t="s">
        <v>338</v>
      </c>
      <c r="U969" s="5"/>
      <c r="V969" s="5"/>
      <c r="W969" s="5"/>
      <c r="X969" s="5"/>
      <c r="Y969" s="5"/>
      <c r="Z969" s="46"/>
      <c r="AA969" s="1361"/>
      <c r="AB969" s="1362"/>
      <c r="AC969" s="1362"/>
      <c r="AD969" s="1362"/>
      <c r="AE969" s="1362"/>
      <c r="AF969" s="1362"/>
      <c r="AG969" s="13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361"/>
      <c r="N970" s="1362"/>
      <c r="O970" s="1362"/>
      <c r="P970" s="1362"/>
      <c r="Q970" s="1362"/>
      <c r="R970" s="1362"/>
      <c r="S970" s="1363"/>
      <c r="T970" s="45" t="s">
        <v>376</v>
      </c>
      <c r="U970" s="5"/>
      <c r="V970" s="5"/>
      <c r="W970" s="5"/>
      <c r="X970" s="5"/>
      <c r="Y970" s="5"/>
      <c r="Z970" s="46"/>
      <c r="AA970" s="1361"/>
      <c r="AB970" s="1362"/>
      <c r="AC970" s="1362"/>
      <c r="AD970" s="1362"/>
      <c r="AE970" s="1362"/>
      <c r="AF970" s="1362"/>
      <c r="AG970" s="13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57" t="s">
        <v>307</v>
      </c>
      <c r="N971" s="1658"/>
      <c r="O971" s="1658"/>
      <c r="P971" s="1658"/>
      <c r="Q971" s="1658"/>
      <c r="R971" s="1658"/>
      <c r="S971" s="1659"/>
      <c r="T971" s="1611"/>
      <c r="U971" s="1612"/>
      <c r="V971" s="1612"/>
      <c r="W971" s="1612"/>
      <c r="X971" s="1612"/>
      <c r="Y971" s="1612"/>
      <c r="Z971" s="1613"/>
      <c r="AA971" s="1361"/>
      <c r="AB971" s="1362"/>
      <c r="AC971" s="1362"/>
      <c r="AD971" s="1362"/>
      <c r="AE971" s="1362"/>
      <c r="AF971" s="1362"/>
      <c r="AG971" s="13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361"/>
      <c r="N972" s="1362"/>
      <c r="O972" s="1362"/>
      <c r="P972" s="1362"/>
      <c r="Q972" s="1362"/>
      <c r="R972" s="1362"/>
      <c r="S972" s="1363"/>
      <c r="T972" s="1611"/>
      <c r="U972" s="1612"/>
      <c r="V972" s="1612"/>
      <c r="W972" s="1612"/>
      <c r="X972" s="1612"/>
      <c r="Y972" s="1612"/>
      <c r="Z972" s="1613"/>
      <c r="AA972" s="1361"/>
      <c r="AB972" s="1362"/>
      <c r="AC972" s="1362"/>
      <c r="AD972" s="1362"/>
      <c r="AE972" s="1362"/>
      <c r="AF972" s="1362"/>
      <c r="AG972" s="13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726" t="s">
        <v>677</v>
      </c>
      <c r="P973" s="1709"/>
      <c r="Q973" s="92"/>
      <c r="R973" s="92"/>
      <c r="S973" s="93"/>
      <c r="T973" s="41" t="s">
        <v>169</v>
      </c>
      <c r="U973" s="42"/>
      <c r="V973" s="42"/>
      <c r="W973" s="1654" t="s">
        <v>334</v>
      </c>
      <c r="X973" s="1655"/>
      <c r="Y973" s="1655"/>
      <c r="Z973" s="1655"/>
      <c r="AA973" s="1655"/>
      <c r="AB973" s="1655"/>
      <c r="AC973" s="1655"/>
      <c r="AD973" s="1655"/>
      <c r="AE973" s="1655"/>
      <c r="AF973" s="1655"/>
      <c r="AG973" s="16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27" t="s">
        <v>33</v>
      </c>
      <c r="G974" s="1455"/>
      <c r="H974" s="1455"/>
      <c r="I974" s="1455"/>
      <c r="J974" s="1455"/>
      <c r="K974" s="1455"/>
      <c r="L974" s="1455"/>
      <c r="M974" s="1361"/>
      <c r="N974" s="1362"/>
      <c r="O974" s="1362"/>
      <c r="P974" s="1362"/>
      <c r="Q974" s="1362"/>
      <c r="R974" s="1362"/>
      <c r="S974" s="1363"/>
      <c r="T974" s="47"/>
      <c r="U974" s="48"/>
      <c r="V974" s="48"/>
      <c r="W974" s="48"/>
      <c r="X974" s="48"/>
      <c r="Y974" s="48"/>
      <c r="Z974" s="124" t="s">
        <v>134</v>
      </c>
      <c r="AA974" s="1608"/>
      <c r="AB974" s="1609"/>
      <c r="AC974" s="1609"/>
      <c r="AD974" s="1609"/>
      <c r="AE974" s="1609"/>
      <c r="AF974" s="1609"/>
      <c r="AG974" s="161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73"/>
      <c r="BH975" s="1673"/>
      <c r="BI975" s="1673"/>
      <c r="BJ975" s="1673"/>
      <c r="BK975" s="1673"/>
      <c r="BL975" s="167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87" t="s">
        <v>556</v>
      </c>
      <c r="B978" s="1487"/>
      <c r="C978" s="1487"/>
      <c r="D978" s="1487"/>
      <c r="E978" s="1487"/>
      <c r="F978" s="1487"/>
      <c r="G978" s="1487"/>
      <c r="H978" s="1487"/>
      <c r="I978" s="1487"/>
      <c r="J978" s="1487"/>
      <c r="K978" s="1487"/>
      <c r="L978" s="1487"/>
      <c r="M978" s="1487"/>
      <c r="N978" s="1487"/>
      <c r="O978" s="1487"/>
      <c r="P978" s="1487"/>
      <c r="Q978" s="1487"/>
      <c r="R978" s="1487"/>
      <c r="S978" s="1487"/>
      <c r="T978" s="1487"/>
      <c r="U978" s="1487"/>
      <c r="V978" s="1487"/>
      <c r="W978" s="1487"/>
      <c r="X978" s="1487"/>
      <c r="Y978" s="1487"/>
      <c r="Z978" s="1487"/>
      <c r="AA978" s="1487"/>
      <c r="AB978" s="1487"/>
      <c r="AC978" s="1487"/>
      <c r="AD978" s="1487"/>
      <c r="AE978" s="1487"/>
      <c r="AF978" s="1487"/>
      <c r="AG978" s="1487"/>
      <c r="AH978" s="1487"/>
      <c r="AI978" s="1487"/>
      <c r="AJ978" s="1487"/>
      <c r="AK978" s="1487"/>
      <c r="AL978" s="1487"/>
      <c r="AM978" s="1487"/>
      <c r="AN978" s="1487"/>
      <c r="AO978" s="1487"/>
      <c r="AP978" s="1487"/>
      <c r="AQ978" s="1487"/>
      <c r="AR978" s="1487"/>
      <c r="AS978" s="1487"/>
      <c r="AT978" s="148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87"/>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396" t="s">
        <v>646</v>
      </c>
      <c r="E984" s="1397"/>
      <c r="F984" s="1397"/>
      <c r="G984" s="1397"/>
      <c r="H984" s="1397"/>
      <c r="I984" s="1397"/>
      <c r="J984" s="1397"/>
      <c r="K984" s="1397"/>
      <c r="L984" s="1397"/>
      <c r="M984" s="1397"/>
      <c r="N984" s="1397"/>
      <c r="O984" s="1397"/>
      <c r="P984" s="1397"/>
      <c r="Q984" s="1398"/>
      <c r="R984" s="1396" t="s">
        <v>647</v>
      </c>
      <c r="S984" s="1397"/>
      <c r="T984" s="1397"/>
      <c r="U984" s="1397"/>
      <c r="V984" s="1397"/>
      <c r="W984" s="1397"/>
      <c r="X984" s="1397"/>
      <c r="Y984" s="1397"/>
      <c r="Z984" s="1397"/>
      <c r="AA984" s="1398"/>
      <c r="AB984" s="1396" t="s">
        <v>648</v>
      </c>
      <c r="AC984" s="1397"/>
      <c r="AD984" s="1397"/>
      <c r="AE984" s="1397"/>
      <c r="AF984" s="1397"/>
      <c r="AG984" s="1397"/>
      <c r="AH984" s="1397"/>
      <c r="AI984" s="1398"/>
      <c r="AJ984" s="1396" t="s">
        <v>649</v>
      </c>
      <c r="AK984" s="1397"/>
      <c r="AL984" s="1397"/>
      <c r="AM984" s="1397"/>
      <c r="AN984" s="1397"/>
      <c r="AO984" s="1397"/>
      <c r="AP984" s="1397"/>
      <c r="AQ984" s="139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02" t="s">
        <v>641</v>
      </c>
      <c r="E985" s="1403"/>
      <c r="F985" s="1403"/>
      <c r="G985" s="1403"/>
      <c r="H985" s="1403"/>
      <c r="I985" s="1403"/>
      <c r="J985" s="1403"/>
      <c r="K985" s="1403"/>
      <c r="L985" s="1403"/>
      <c r="M985" s="1403"/>
      <c r="N985" s="1403"/>
      <c r="O985" s="1403"/>
      <c r="P985" s="1403"/>
      <c r="Q985" s="1404"/>
      <c r="R985" s="1395">
        <f>IF(ISNA(IF($BN$796="4%",(INDEX($BP$806:$BT$863,MATCH($CB$796,$BO$806:$BO$863,0),MATCH(D985,$BP$805:$BT$805,0))),(INDEX($BW$806:$CA$863,MATCH($CB$796,$BV$806:$BV$863,0),MATCH(D985,$BW$805:$CA$805,0))))),0,IF($BN$796="4%",(INDEX($BP$806:$BT$863,MATCH($CB$796,$BO$806:$BO$863,0),MATCH(D985,$BP$805:$BT$805,0))),(INDEX($BW$806:$CA$863,MATCH($CB$796,$BV$806:$BV$863,0),MATCH(D985,$BW$805:$CA$805,0)))))</f>
        <v>437727</v>
      </c>
      <c r="S985" s="1395"/>
      <c r="T985" s="1395"/>
      <c r="U985" s="1395"/>
      <c r="V985" s="1395"/>
      <c r="W985" s="1395"/>
      <c r="X985" s="1395"/>
      <c r="Y985" s="1395"/>
      <c r="Z985" s="1395"/>
      <c r="AA985" s="1395"/>
      <c r="AB985" s="1399">
        <f>BN660</f>
        <v>0</v>
      </c>
      <c r="AC985" s="1400"/>
      <c r="AD985" s="1400"/>
      <c r="AE985" s="1400"/>
      <c r="AF985" s="1400"/>
      <c r="AG985" s="1400"/>
      <c r="AH985" s="1400"/>
      <c r="AI985" s="1401"/>
      <c r="AJ985" s="1389">
        <f>IF(ISERROR((R985*AB985)),0,(R985*AB985))</f>
        <v>0</v>
      </c>
      <c r="AK985" s="1390"/>
      <c r="AL985" s="1390"/>
      <c r="AM985" s="1390"/>
      <c r="AN985" s="1390"/>
      <c r="AO985" s="1390"/>
      <c r="AP985" s="1390"/>
      <c r="AQ985" s="139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02" t="s">
        <v>325</v>
      </c>
      <c r="E986" s="1403"/>
      <c r="F986" s="1403"/>
      <c r="G986" s="1403"/>
      <c r="H986" s="1403"/>
      <c r="I986" s="1403"/>
      <c r="J986" s="1403"/>
      <c r="K986" s="1403"/>
      <c r="L986" s="1403"/>
      <c r="M986" s="1403"/>
      <c r="N986" s="1403"/>
      <c r="O986" s="1403"/>
      <c r="P986" s="1403"/>
      <c r="Q986" s="1404"/>
      <c r="R986" s="1395">
        <f>IF(ISNA(IF($BN$796="4%",(INDEX($BP$806:$BT$863,MATCH($CB$796,$BO$806:$BO$863,0),MATCH(D986,$BP$805:$BT$805,0))),(INDEX($BW$806:$CA$863,MATCH($CB$796,$BV$806:$BV$863,0),MATCH(D986,$BW$805:$CA$805,0))))),0,IF($BN$796="4%",(INDEX($BP$806:$BT$863,MATCH($CB$796,$BO$806:$BO$863,0),MATCH(D986,$BP$805:$BT$805,0))),(INDEX($BW$806:$CA$863,MATCH($CB$796,$BV$806:$BV$863,0),MATCH(D986,$BW$805:$CA$805,0)))))</f>
        <v>504695</v>
      </c>
      <c r="S986" s="1395"/>
      <c r="T986" s="1395"/>
      <c r="U986" s="1395"/>
      <c r="V986" s="1395"/>
      <c r="W986" s="1395"/>
      <c r="X986" s="1395"/>
      <c r="Y986" s="1395"/>
      <c r="Z986" s="1395"/>
      <c r="AA986" s="1395"/>
      <c r="AB986" s="1399">
        <f>BS660</f>
        <v>39</v>
      </c>
      <c r="AC986" s="1400"/>
      <c r="AD986" s="1400"/>
      <c r="AE986" s="1400"/>
      <c r="AF986" s="1400"/>
      <c r="AG986" s="1400"/>
      <c r="AH986" s="1400"/>
      <c r="AI986" s="1401"/>
      <c r="AJ986" s="1389">
        <f>IF(ISERROR((R986*AB986)),0,(R986*AB986))</f>
        <v>19683105</v>
      </c>
      <c r="AK986" s="1390"/>
      <c r="AL986" s="1390"/>
      <c r="AM986" s="1390"/>
      <c r="AN986" s="1390"/>
      <c r="AO986" s="1390"/>
      <c r="AP986" s="1390"/>
      <c r="AQ986" s="139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02" t="s">
        <v>163</v>
      </c>
      <c r="E987" s="1403"/>
      <c r="F987" s="1403"/>
      <c r="G987" s="1403"/>
      <c r="H987" s="1403"/>
      <c r="I987" s="1403"/>
      <c r="J987" s="1403"/>
      <c r="K987" s="1403"/>
      <c r="L987" s="1403"/>
      <c r="M987" s="1403"/>
      <c r="N987" s="1403"/>
      <c r="O987" s="1403"/>
      <c r="P987" s="1403"/>
      <c r="Q987" s="1404"/>
      <c r="R987" s="1395">
        <f>IF(ISNA(IF($BN$796="4%",(INDEX($BP$806:$BT$863,MATCH($CB$796,$BO$806:$BO$863,0),MATCH(D987,$BP$805:$BT$805,0))),(INDEX($BW$806:$CA$863,MATCH($CB$796,$BV$806:$BV$863,0),MATCH(D987,$BW$805:$CA$805,0))))),0,IF($BN$796="4%",(INDEX($BP$806:$BT$863,MATCH($CB$796,$BO$806:$BO$863,0),MATCH(D987,$BP$805:$BT$805,0))),(INDEX($BW$806:$CA$863,MATCH($CB$796,$BV$806:$BV$863,0),MATCH(D987,$BW$805:$CA$805,0)))))</f>
        <v>608800</v>
      </c>
      <c r="S987" s="1395"/>
      <c r="T987" s="1395"/>
      <c r="U987" s="1395"/>
      <c r="V987" s="1395"/>
      <c r="W987" s="1395"/>
      <c r="X987" s="1395"/>
      <c r="Y987" s="1395"/>
      <c r="Z987" s="1395"/>
      <c r="AA987" s="1395"/>
      <c r="AB987" s="1399">
        <f>BX660</f>
        <v>22</v>
      </c>
      <c r="AC987" s="1400"/>
      <c r="AD987" s="1400"/>
      <c r="AE987" s="1400"/>
      <c r="AF987" s="1400"/>
      <c r="AG987" s="1400"/>
      <c r="AH987" s="1400"/>
      <c r="AI987" s="1401"/>
      <c r="AJ987" s="1389">
        <f>IF(ISERROR((R987*AB987)),0,(R987*AB987))</f>
        <v>13393600</v>
      </c>
      <c r="AK987" s="1390"/>
      <c r="AL987" s="1390"/>
      <c r="AM987" s="1390"/>
      <c r="AN987" s="1390"/>
      <c r="AO987" s="1390"/>
      <c r="AP987" s="1390"/>
      <c r="AQ987" s="139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02" t="s">
        <v>164</v>
      </c>
      <c r="E988" s="1403"/>
      <c r="F988" s="1403"/>
      <c r="G988" s="1403"/>
      <c r="H988" s="1403"/>
      <c r="I988" s="1403"/>
      <c r="J988" s="1403"/>
      <c r="K988" s="1403"/>
      <c r="L988" s="1403"/>
      <c r="M988" s="1403"/>
      <c r="N988" s="1403"/>
      <c r="O988" s="1403"/>
      <c r="P988" s="1403"/>
      <c r="Q988" s="1404"/>
      <c r="R988" s="1395">
        <f>IF(ISNA(IF($BN$796="4%",(INDEX($BP$806:$BT$863,MATCH($CB$796,$BO$806:$BO$863,0),MATCH(D988,$BP$805:$BT$805,0))),(INDEX($BW$806:$CA$863,MATCH($CB$796,$BV$806:$BV$863,0),MATCH(D988,$BW$805:$CA$805,0))))),0,IF($BN$796="4%",(INDEX($BP$806:$BT$863,MATCH($CB$796,$BO$806:$BO$863,0),MATCH(D988,$BP$805:$BT$805,0))),(INDEX($BW$806:$CA$863,MATCH($CB$796,$BV$806:$BV$863,0),MATCH(D988,$BW$805:$CA$805,0)))))</f>
        <v>779264</v>
      </c>
      <c r="S988" s="1395"/>
      <c r="T988" s="1395"/>
      <c r="U988" s="1395"/>
      <c r="V988" s="1395"/>
      <c r="W988" s="1395"/>
      <c r="X988" s="1395"/>
      <c r="Y988" s="1395"/>
      <c r="Z988" s="1395"/>
      <c r="AA988" s="1395"/>
      <c r="AB988" s="1399">
        <f>CC660</f>
        <v>21</v>
      </c>
      <c r="AC988" s="1400"/>
      <c r="AD988" s="1400"/>
      <c r="AE988" s="1400"/>
      <c r="AF988" s="1400"/>
      <c r="AG988" s="1400"/>
      <c r="AH988" s="1400"/>
      <c r="AI988" s="1401"/>
      <c r="AJ988" s="1389">
        <f>IF(ISERROR((R988*AB988)),0,(R988*AB988))</f>
        <v>16364544</v>
      </c>
      <c r="AK988" s="1390"/>
      <c r="AL988" s="1390"/>
      <c r="AM988" s="1390"/>
      <c r="AN988" s="1390"/>
      <c r="AO988" s="1390"/>
      <c r="AP988" s="1390"/>
      <c r="AQ988" s="139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02" t="s">
        <v>468</v>
      </c>
      <c r="E989" s="1403"/>
      <c r="F989" s="1403"/>
      <c r="G989" s="1403"/>
      <c r="H989" s="1403"/>
      <c r="I989" s="1403"/>
      <c r="J989" s="1403"/>
      <c r="K989" s="1403"/>
      <c r="L989" s="1403"/>
      <c r="M989" s="1403"/>
      <c r="N989" s="1403"/>
      <c r="O989" s="1403"/>
      <c r="P989" s="1403"/>
      <c r="Q989" s="1404"/>
      <c r="R989" s="1395">
        <f>IF(ISNA(IF($BN$796="4%",(INDEX($BP$806:$BT$863,MATCH($CB$796,$BO$806:$BO$863,0),MATCH(D989,$BP$805:$BT$805,0))),(INDEX($BW$806:$CA$863,MATCH($CB$796,$BV$806:$BV$863,0),MATCH(D989,$BW$805:$CA$805,0))))),0,IF($BN$796="4%",(INDEX($BP$806:$BT$863,MATCH($CB$796,$BO$806:$BO$863,0),MATCH(D989,$BP$805:$BT$805,0))),(INDEX($BW$806:$CA$863,MATCH($CB$796,$BV$806:$BV$863,0),MATCH(D989,$BW$805:$CA$805,0)))))</f>
        <v>868149</v>
      </c>
      <c r="S989" s="1395"/>
      <c r="T989" s="1395"/>
      <c r="U989" s="1395"/>
      <c r="V989" s="1395"/>
      <c r="W989" s="1395"/>
      <c r="X989" s="1395"/>
      <c r="Y989" s="1395"/>
      <c r="Z989" s="1395"/>
      <c r="AA989" s="1395"/>
      <c r="AB989" s="1399">
        <f>CM660+CH660</f>
        <v>0</v>
      </c>
      <c r="AC989" s="1400"/>
      <c r="AD989" s="1400"/>
      <c r="AE989" s="1400"/>
      <c r="AF989" s="1400"/>
      <c r="AG989" s="1400"/>
      <c r="AH989" s="1400"/>
      <c r="AI989" s="1401"/>
      <c r="AJ989" s="1389">
        <f>IF(ISERROR((R989*AB989)),0,(R989*AB989))</f>
        <v>0</v>
      </c>
      <c r="AK989" s="1390"/>
      <c r="AL989" s="1390"/>
      <c r="AM989" s="1390"/>
      <c r="AN989" s="1390"/>
      <c r="AO989" s="1390"/>
      <c r="AP989" s="1390"/>
      <c r="AQ989" s="139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86" t="s">
        <v>800</v>
      </c>
      <c r="C990" s="1587"/>
      <c r="D990" s="1587"/>
      <c r="E990" s="1587"/>
      <c r="F990" s="1587"/>
      <c r="G990" s="1587"/>
      <c r="H990" s="1587"/>
      <c r="I990" s="1587"/>
      <c r="J990" s="1587"/>
      <c r="K990" s="1587"/>
      <c r="L990" s="1587"/>
      <c r="M990" s="1587"/>
      <c r="N990" s="1587"/>
      <c r="O990" s="1587"/>
      <c r="P990" s="1587"/>
      <c r="Q990" s="1587"/>
      <c r="R990" s="1587"/>
      <c r="S990" s="1587"/>
      <c r="T990" s="1587"/>
      <c r="U990" s="1587"/>
      <c r="V990" s="1587"/>
      <c r="W990" s="1587"/>
      <c r="X990" s="1587"/>
      <c r="Y990" s="1587"/>
      <c r="Z990" s="1587"/>
      <c r="AA990" s="1588"/>
      <c r="AB990" s="1399">
        <f>SUM(AB985:AI989)</f>
        <v>82</v>
      </c>
      <c r="AC990" s="1400"/>
      <c r="AD990" s="1400"/>
      <c r="AE990" s="1400"/>
      <c r="AF990" s="1400"/>
      <c r="AG990" s="1400"/>
      <c r="AH990" s="1400"/>
      <c r="AI990" s="1401"/>
      <c r="AJ990" s="1389"/>
      <c r="AK990" s="1390"/>
      <c r="AL990" s="1390"/>
      <c r="AM990" s="1390"/>
      <c r="AN990" s="1390"/>
      <c r="AO990" s="1390"/>
      <c r="AP990" s="1390"/>
      <c r="AQ990" s="139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392" t="s">
        <v>520</v>
      </c>
      <c r="C991" s="1393"/>
      <c r="D991" s="1393"/>
      <c r="E991" s="1393"/>
      <c r="F991" s="1393"/>
      <c r="G991" s="1393"/>
      <c r="H991" s="1393"/>
      <c r="I991" s="1393"/>
      <c r="J991" s="1393"/>
      <c r="K991" s="1393"/>
      <c r="L991" s="1393"/>
      <c r="M991" s="1393"/>
      <c r="N991" s="1393"/>
      <c r="O991" s="1393"/>
      <c r="P991" s="1393"/>
      <c r="Q991" s="1393"/>
      <c r="R991" s="1393"/>
      <c r="S991" s="1393"/>
      <c r="T991" s="1393"/>
      <c r="U991" s="1393"/>
      <c r="V991" s="1393"/>
      <c r="W991" s="1393"/>
      <c r="X991" s="1393"/>
      <c r="Y991" s="1393"/>
      <c r="Z991" s="1393"/>
      <c r="AA991" s="1393"/>
      <c r="AB991" s="1393"/>
      <c r="AC991" s="1393"/>
      <c r="AD991" s="1393"/>
      <c r="AE991" s="1393"/>
      <c r="AF991" s="1393"/>
      <c r="AG991" s="1393"/>
      <c r="AH991" s="1393"/>
      <c r="AI991" s="1394"/>
      <c r="AJ991" s="1389">
        <f>SUM(AJ985:AQ989)</f>
        <v>49441249</v>
      </c>
      <c r="AK991" s="1390"/>
      <c r="AL991" s="1390"/>
      <c r="AM991" s="1390"/>
      <c r="AN991" s="1390"/>
      <c r="AO991" s="1390"/>
      <c r="AP991" s="1390"/>
      <c r="AQ991" s="139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40"/>
      <c r="C992" s="1541"/>
      <c r="D992" s="1541"/>
      <c r="E992" s="1541"/>
      <c r="F992" s="1541"/>
      <c r="G992" s="1541"/>
      <c r="H992" s="1541"/>
      <c r="I992" s="1541"/>
      <c r="J992" s="1541"/>
      <c r="K992" s="1541"/>
      <c r="L992" s="1541"/>
      <c r="M992" s="1541"/>
      <c r="N992" s="1541"/>
      <c r="O992" s="1541"/>
      <c r="P992" s="1541"/>
      <c r="Q992" s="1541"/>
      <c r="R992" s="1541"/>
      <c r="S992" s="1541"/>
      <c r="T992" s="1541"/>
      <c r="U992" s="1541"/>
      <c r="V992" s="1541"/>
      <c r="W992" s="1541"/>
      <c r="X992" s="1541"/>
      <c r="Y992" s="1541"/>
      <c r="Z992" s="1541"/>
      <c r="AA992" s="1541"/>
      <c r="AB992" s="1541"/>
      <c r="AC992" s="1541"/>
      <c r="AD992" s="1541"/>
      <c r="AE992" s="1542"/>
      <c r="AF992" s="1543" t="s">
        <v>674</v>
      </c>
      <c r="AG992" s="1544"/>
      <c r="AH992" s="1544"/>
      <c r="AI992" s="1545"/>
      <c r="AJ992" s="1540"/>
      <c r="AK992" s="1541"/>
      <c r="AL992" s="1541"/>
      <c r="AM992" s="1541"/>
      <c r="AN992" s="1541"/>
      <c r="AO992" s="1541"/>
      <c r="AP992" s="1541"/>
      <c r="AQ992" s="154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48" t="s">
        <v>1326</v>
      </c>
      <c r="E993" s="1549"/>
      <c r="F993" s="1549"/>
      <c r="G993" s="1549"/>
      <c r="H993" s="1549"/>
      <c r="I993" s="1549"/>
      <c r="J993" s="1549"/>
      <c r="K993" s="1549"/>
      <c r="L993" s="1549"/>
      <c r="M993" s="1549"/>
      <c r="N993" s="1549"/>
      <c r="O993" s="1549"/>
      <c r="P993" s="1549"/>
      <c r="Q993" s="1549"/>
      <c r="R993" s="1549"/>
      <c r="S993" s="1549"/>
      <c r="T993" s="1549"/>
      <c r="U993" s="1549"/>
      <c r="V993" s="1549"/>
      <c r="W993" s="1549"/>
      <c r="X993" s="1549"/>
      <c r="Y993" s="1549"/>
      <c r="Z993" s="1549"/>
      <c r="AA993" s="1549"/>
      <c r="AB993" s="1549"/>
      <c r="AC993" s="1549"/>
      <c r="AD993" s="1549"/>
      <c r="AE993" s="1550"/>
      <c r="AF993" s="79"/>
      <c r="AG993" s="1546" t="s">
        <v>677</v>
      </c>
      <c r="AH993" s="1547"/>
      <c r="AI993" s="87"/>
      <c r="AJ993" s="1372">
        <f>ROUND(IF(AND(AG993="yes",D999&gt;0),AJ991*0.2,0),0)</f>
        <v>0</v>
      </c>
      <c r="AK993" s="1373"/>
      <c r="AL993" s="1373"/>
      <c r="AM993" s="1373"/>
      <c r="AN993" s="1373"/>
      <c r="AO993" s="1373"/>
      <c r="AP993" s="1373"/>
      <c r="AQ993" s="137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412" t="s">
        <v>2570</v>
      </c>
      <c r="E994" s="1413"/>
      <c r="F994" s="1413"/>
      <c r="G994" s="1413"/>
      <c r="H994" s="1413"/>
      <c r="I994" s="1413"/>
      <c r="J994" s="1413"/>
      <c r="K994" s="1413"/>
      <c r="L994" s="1413"/>
      <c r="M994" s="1413"/>
      <c r="N994" s="1413"/>
      <c r="O994" s="1413"/>
      <c r="P994" s="1413"/>
      <c r="Q994" s="1413"/>
      <c r="R994" s="1413"/>
      <c r="S994" s="1413"/>
      <c r="T994" s="1413"/>
      <c r="U994" s="1413"/>
      <c r="V994" s="1413"/>
      <c r="W994" s="1413"/>
      <c r="X994" s="1413"/>
      <c r="Y994" s="1413"/>
      <c r="Z994" s="1413"/>
      <c r="AA994" s="1413"/>
      <c r="AB994" s="1413"/>
      <c r="AC994" s="1413"/>
      <c r="AD994" s="1413"/>
      <c r="AE994" s="1414"/>
      <c r="AF994" s="73"/>
      <c r="AG994" s="14"/>
      <c r="AH994" s="14"/>
      <c r="AI994" s="83"/>
      <c r="AJ994" s="1375"/>
      <c r="AK994" s="1376"/>
      <c r="AL994" s="1376"/>
      <c r="AM994" s="1376"/>
      <c r="AN994" s="1376"/>
      <c r="AO994" s="1376"/>
      <c r="AP994" s="1376"/>
      <c r="AQ994" s="137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412"/>
      <c r="E995" s="1413"/>
      <c r="F995" s="1413"/>
      <c r="G995" s="1413"/>
      <c r="H995" s="1413"/>
      <c r="I995" s="1413"/>
      <c r="J995" s="1413"/>
      <c r="K995" s="1413"/>
      <c r="L995" s="1413"/>
      <c r="M995" s="1413"/>
      <c r="N995" s="1413"/>
      <c r="O995" s="1413"/>
      <c r="P995" s="1413"/>
      <c r="Q995" s="1413"/>
      <c r="R995" s="1413"/>
      <c r="S995" s="1413"/>
      <c r="T995" s="1413"/>
      <c r="U995" s="1413"/>
      <c r="V995" s="1413"/>
      <c r="W995" s="1413"/>
      <c r="X995" s="1413"/>
      <c r="Y995" s="1413"/>
      <c r="Z995" s="1413"/>
      <c r="AA995" s="1413"/>
      <c r="AB995" s="1413"/>
      <c r="AC995" s="1413"/>
      <c r="AD995" s="1413"/>
      <c r="AE995" s="1414"/>
      <c r="AF995" s="73"/>
      <c r="AG995" s="14"/>
      <c r="AH995" s="14"/>
      <c r="AI995" s="83"/>
      <c r="AJ995" s="1375"/>
      <c r="AK995" s="1376"/>
      <c r="AL995" s="1376"/>
      <c r="AM995" s="1376"/>
      <c r="AN995" s="1376"/>
      <c r="AO995" s="1376"/>
      <c r="AP995" s="1376"/>
      <c r="AQ995" s="137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412"/>
      <c r="E996" s="1413"/>
      <c r="F996" s="1413"/>
      <c r="G996" s="1413"/>
      <c r="H996" s="1413"/>
      <c r="I996" s="1413"/>
      <c r="J996" s="1413"/>
      <c r="K996" s="1413"/>
      <c r="L996" s="1413"/>
      <c r="M996" s="1413"/>
      <c r="N996" s="1413"/>
      <c r="O996" s="1413"/>
      <c r="P996" s="1413"/>
      <c r="Q996" s="1413"/>
      <c r="R996" s="1413"/>
      <c r="S996" s="1413"/>
      <c r="T996" s="1413"/>
      <c r="U996" s="1413"/>
      <c r="V996" s="1413"/>
      <c r="W996" s="1413"/>
      <c r="X996" s="1413"/>
      <c r="Y996" s="1413"/>
      <c r="Z996" s="1413"/>
      <c r="AA996" s="1413"/>
      <c r="AB996" s="1413"/>
      <c r="AC996" s="1413"/>
      <c r="AD996" s="1413"/>
      <c r="AE996" s="1414"/>
      <c r="AF996" s="73"/>
      <c r="AG996" s="14"/>
      <c r="AH996" s="14"/>
      <c r="AI996" s="83"/>
      <c r="AJ996" s="1375"/>
      <c r="AK996" s="1376"/>
      <c r="AL996" s="1376"/>
      <c r="AM996" s="1376"/>
      <c r="AN996" s="1376"/>
      <c r="AO996" s="1376"/>
      <c r="AP996" s="1376"/>
      <c r="AQ996" s="137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412"/>
      <c r="E997" s="1413"/>
      <c r="F997" s="1413"/>
      <c r="G997" s="1413"/>
      <c r="H997" s="1413"/>
      <c r="I997" s="1413"/>
      <c r="J997" s="1413"/>
      <c r="K997" s="1413"/>
      <c r="L997" s="1413"/>
      <c r="M997" s="1413"/>
      <c r="N997" s="1413"/>
      <c r="O997" s="1413"/>
      <c r="P997" s="1413"/>
      <c r="Q997" s="1413"/>
      <c r="R997" s="1413"/>
      <c r="S997" s="1413"/>
      <c r="T997" s="1413"/>
      <c r="U997" s="1413"/>
      <c r="V997" s="1413"/>
      <c r="W997" s="1413"/>
      <c r="X997" s="1413"/>
      <c r="Y997" s="1413"/>
      <c r="Z997" s="1413"/>
      <c r="AA997" s="1413"/>
      <c r="AB997" s="1413"/>
      <c r="AC997" s="1413"/>
      <c r="AD997" s="1413"/>
      <c r="AE997" s="1414"/>
      <c r="AF997" s="73"/>
      <c r="AG997" s="14"/>
      <c r="AH997" s="14"/>
      <c r="AI997" s="83"/>
      <c r="AJ997" s="1375"/>
      <c r="AK997" s="1376"/>
      <c r="AL997" s="1376"/>
      <c r="AM997" s="1376"/>
      <c r="AN997" s="1376"/>
      <c r="AO997" s="1376"/>
      <c r="AP997" s="1376"/>
      <c r="AQ997" s="137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415" t="s">
        <v>2571</v>
      </c>
      <c r="E998" s="1416"/>
      <c r="F998" s="1416"/>
      <c r="G998" s="1416"/>
      <c r="H998" s="1416"/>
      <c r="I998" s="1416"/>
      <c r="J998" s="1416"/>
      <c r="K998" s="1416"/>
      <c r="L998" s="1416"/>
      <c r="M998" s="1416"/>
      <c r="N998" s="1416"/>
      <c r="O998" s="1416"/>
      <c r="P998" s="1416"/>
      <c r="Q998" s="1416"/>
      <c r="R998" s="1416"/>
      <c r="S998" s="1416"/>
      <c r="T998" s="1416"/>
      <c r="U998" s="1416"/>
      <c r="V998" s="1416"/>
      <c r="W998" s="1416"/>
      <c r="X998" s="1416"/>
      <c r="Y998" s="1416"/>
      <c r="Z998" s="1416"/>
      <c r="AA998" s="1416"/>
      <c r="AB998" s="1416"/>
      <c r="AC998" s="1416"/>
      <c r="AD998" s="1416"/>
      <c r="AE998" s="1417"/>
      <c r="AF998" s="73"/>
      <c r="AG998" s="14"/>
      <c r="AH998" s="14"/>
      <c r="AI998" s="83"/>
      <c r="AJ998" s="1375"/>
      <c r="AK998" s="1376"/>
      <c r="AL998" s="1376"/>
      <c r="AM998" s="1376"/>
      <c r="AN998" s="1376"/>
      <c r="AO998" s="1376"/>
      <c r="AP998" s="1376"/>
      <c r="AQ998" s="137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589"/>
      <c r="E999" s="1590"/>
      <c r="F999" s="1590"/>
      <c r="G999" s="1590"/>
      <c r="H999" s="1590"/>
      <c r="I999" s="1590"/>
      <c r="J999" s="1590"/>
      <c r="K999" s="1590"/>
      <c r="L999" s="1590"/>
      <c r="M999" s="1590"/>
      <c r="N999" s="1590"/>
      <c r="O999" s="1590"/>
      <c r="P999" s="1590"/>
      <c r="Q999" s="1590"/>
      <c r="R999" s="1590"/>
      <c r="S999" s="1590"/>
      <c r="T999" s="1590"/>
      <c r="U999" s="1590"/>
      <c r="V999" s="1590"/>
      <c r="W999" s="1590"/>
      <c r="X999" s="1590"/>
      <c r="Y999" s="1590"/>
      <c r="Z999" s="1590"/>
      <c r="AA999" s="1590"/>
      <c r="AB999" s="1590"/>
      <c r="AC999" s="1590"/>
      <c r="AD999" s="1590"/>
      <c r="AE999" s="1591"/>
      <c r="AF999" s="77"/>
      <c r="AG999" s="7"/>
      <c r="AH999" s="7"/>
      <c r="AI999" s="78"/>
      <c r="AJ999" s="1378"/>
      <c r="AK999" s="1379"/>
      <c r="AL999" s="1379"/>
      <c r="AM999" s="1379"/>
      <c r="AN999" s="1379"/>
      <c r="AO999" s="1379"/>
      <c r="AP999" s="1379"/>
      <c r="AQ999" s="138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381" t="s">
        <v>1396</v>
      </c>
      <c r="E1000" s="1382"/>
      <c r="F1000" s="1382"/>
      <c r="G1000" s="1382"/>
      <c r="H1000" s="1382"/>
      <c r="I1000" s="1382"/>
      <c r="J1000" s="1382"/>
      <c r="K1000" s="1382"/>
      <c r="L1000" s="1382"/>
      <c r="M1000" s="1382"/>
      <c r="N1000" s="1382"/>
      <c r="O1000" s="1382"/>
      <c r="P1000" s="1382"/>
      <c r="Q1000" s="1382"/>
      <c r="R1000" s="1382"/>
      <c r="S1000" s="1382"/>
      <c r="T1000" s="1382"/>
      <c r="U1000" s="1382"/>
      <c r="V1000" s="1382"/>
      <c r="W1000" s="1382"/>
      <c r="X1000" s="1382"/>
      <c r="Y1000" s="1382"/>
      <c r="Z1000" s="1382"/>
      <c r="AA1000" s="1382"/>
      <c r="AB1000" s="1382"/>
      <c r="AC1000" s="1382"/>
      <c r="AD1000" s="1382"/>
      <c r="AE1000" s="1383"/>
      <c r="AF1000" s="79"/>
      <c r="AG1000" s="1367" t="s">
        <v>677</v>
      </c>
      <c r="AH1000" s="1368"/>
      <c r="AI1000" s="87"/>
      <c r="AJ1000" s="1372">
        <f>ROUND(IF(AG1000="yes",AJ991*0.05,0),0)</f>
        <v>0</v>
      </c>
      <c r="AK1000" s="1373"/>
      <c r="AL1000" s="1373"/>
      <c r="AM1000" s="1373"/>
      <c r="AN1000" s="1373"/>
      <c r="AO1000" s="1373"/>
      <c r="AP1000" s="1373"/>
      <c r="AQ1000" s="137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412" t="s">
        <v>1394</v>
      </c>
      <c r="E1001" s="1413"/>
      <c r="F1001" s="1413"/>
      <c r="G1001" s="1413"/>
      <c r="H1001" s="1413"/>
      <c r="I1001" s="1413"/>
      <c r="J1001" s="1413"/>
      <c r="K1001" s="1413"/>
      <c r="L1001" s="1413"/>
      <c r="M1001" s="1413"/>
      <c r="N1001" s="1413"/>
      <c r="O1001" s="1413"/>
      <c r="P1001" s="1413"/>
      <c r="Q1001" s="1413"/>
      <c r="R1001" s="1413"/>
      <c r="S1001" s="1413"/>
      <c r="T1001" s="1413"/>
      <c r="U1001" s="1413"/>
      <c r="V1001" s="1413"/>
      <c r="W1001" s="1413"/>
      <c r="X1001" s="1413"/>
      <c r="Y1001" s="1413"/>
      <c r="Z1001" s="1413"/>
      <c r="AA1001" s="1413"/>
      <c r="AB1001" s="1413"/>
      <c r="AC1001" s="1413"/>
      <c r="AD1001" s="1413"/>
      <c r="AE1001" s="1414"/>
      <c r="AF1001" s="73"/>
      <c r="AG1001" s="14"/>
      <c r="AH1001" s="14"/>
      <c r="AI1001" s="83"/>
      <c r="AJ1001" s="1375"/>
      <c r="AK1001" s="1376"/>
      <c r="AL1001" s="1376"/>
      <c r="AM1001" s="1376"/>
      <c r="AN1001" s="1376"/>
      <c r="AO1001" s="1376"/>
      <c r="AP1001" s="1376"/>
      <c r="AQ1001" s="137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412"/>
      <c r="E1002" s="1413"/>
      <c r="F1002" s="1413"/>
      <c r="G1002" s="1413"/>
      <c r="H1002" s="1413"/>
      <c r="I1002" s="1413"/>
      <c r="J1002" s="1413"/>
      <c r="K1002" s="1413"/>
      <c r="L1002" s="1413"/>
      <c r="M1002" s="1413"/>
      <c r="N1002" s="1413"/>
      <c r="O1002" s="1413"/>
      <c r="P1002" s="1413"/>
      <c r="Q1002" s="1413"/>
      <c r="R1002" s="1413"/>
      <c r="S1002" s="1413"/>
      <c r="T1002" s="1413"/>
      <c r="U1002" s="1413"/>
      <c r="V1002" s="1413"/>
      <c r="W1002" s="1413"/>
      <c r="X1002" s="1413"/>
      <c r="Y1002" s="1413"/>
      <c r="Z1002" s="1413"/>
      <c r="AA1002" s="1413"/>
      <c r="AB1002" s="1413"/>
      <c r="AC1002" s="1413"/>
      <c r="AD1002" s="1413"/>
      <c r="AE1002" s="1414"/>
      <c r="AF1002" s="73"/>
      <c r="AG1002" s="14"/>
      <c r="AH1002" s="14"/>
      <c r="AI1002" s="83"/>
      <c r="AJ1002" s="1375"/>
      <c r="AK1002" s="1376"/>
      <c r="AL1002" s="1376"/>
      <c r="AM1002" s="1376"/>
      <c r="AN1002" s="1376"/>
      <c r="AO1002" s="1376"/>
      <c r="AP1002" s="1376"/>
      <c r="AQ1002" s="1377"/>
      <c r="AR1002" s="68"/>
      <c r="AS1002" s="68"/>
      <c r="AT1002" s="68"/>
      <c r="AU1002" s="68"/>
      <c r="AV1002" s="68"/>
      <c r="AW1002" s="68"/>
      <c r="AX1002" s="68"/>
      <c r="AY1002" s="949">
        <f>G753+O797</f>
        <v>81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412"/>
      <c r="E1003" s="1413"/>
      <c r="F1003" s="1413"/>
      <c r="G1003" s="1413"/>
      <c r="H1003" s="1413"/>
      <c r="I1003" s="1413"/>
      <c r="J1003" s="1413"/>
      <c r="K1003" s="1413"/>
      <c r="L1003" s="1413"/>
      <c r="M1003" s="1413"/>
      <c r="N1003" s="1413"/>
      <c r="O1003" s="1413"/>
      <c r="P1003" s="1413"/>
      <c r="Q1003" s="1413"/>
      <c r="R1003" s="1413"/>
      <c r="S1003" s="1413"/>
      <c r="T1003" s="1413"/>
      <c r="U1003" s="1413"/>
      <c r="V1003" s="1413"/>
      <c r="W1003" s="1413"/>
      <c r="X1003" s="1413"/>
      <c r="Y1003" s="1413"/>
      <c r="Z1003" s="1413"/>
      <c r="AA1003" s="1413"/>
      <c r="AB1003" s="1413"/>
      <c r="AC1003" s="1413"/>
      <c r="AD1003" s="1413"/>
      <c r="AE1003" s="1414"/>
      <c r="AF1003" s="73"/>
      <c r="AG1003" s="14"/>
      <c r="AH1003" s="14"/>
      <c r="AI1003" s="83"/>
      <c r="AJ1003" s="1375"/>
      <c r="AK1003" s="1376"/>
      <c r="AL1003" s="1376"/>
      <c r="AM1003" s="1376"/>
      <c r="AN1003" s="1376"/>
      <c r="AO1003" s="1376"/>
      <c r="AP1003" s="1376"/>
      <c r="AQ1003" s="137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412"/>
      <c r="E1004" s="1413"/>
      <c r="F1004" s="1413"/>
      <c r="G1004" s="1413"/>
      <c r="H1004" s="1413"/>
      <c r="I1004" s="1413"/>
      <c r="J1004" s="1413"/>
      <c r="K1004" s="1413"/>
      <c r="L1004" s="1413"/>
      <c r="M1004" s="1413"/>
      <c r="N1004" s="1413"/>
      <c r="O1004" s="1413"/>
      <c r="P1004" s="1413"/>
      <c r="Q1004" s="1413"/>
      <c r="R1004" s="1413"/>
      <c r="S1004" s="1413"/>
      <c r="T1004" s="1413"/>
      <c r="U1004" s="1413"/>
      <c r="V1004" s="1413"/>
      <c r="W1004" s="1413"/>
      <c r="X1004" s="1413"/>
      <c r="Y1004" s="1413"/>
      <c r="Z1004" s="1413"/>
      <c r="AA1004" s="1413"/>
      <c r="AB1004" s="1413"/>
      <c r="AC1004" s="1413"/>
      <c r="AD1004" s="1413"/>
      <c r="AE1004" s="1414"/>
      <c r="AF1004" s="73"/>
      <c r="AG1004" s="14"/>
      <c r="AH1004" s="14"/>
      <c r="AI1004" s="83"/>
      <c r="AJ1004" s="1375"/>
      <c r="AK1004" s="1376"/>
      <c r="AL1004" s="1376"/>
      <c r="AM1004" s="1376"/>
      <c r="AN1004" s="1376"/>
      <c r="AO1004" s="1376"/>
      <c r="AP1004" s="1376"/>
      <c r="AQ1004" s="1377"/>
      <c r="AR1004" s="68"/>
      <c r="AS1004" s="68"/>
      <c r="AT1004" s="68"/>
      <c r="AU1004" s="68"/>
      <c r="AV1004" s="68"/>
      <c r="AW1004" s="68"/>
      <c r="AX1004" s="68"/>
      <c r="AY1004" s="948">
        <f>ROUNDDOWN(X1047/I1047,2)</f>
        <v>0.18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415"/>
      <c r="E1005" s="1416"/>
      <c r="F1005" s="1416"/>
      <c r="G1005" s="1416"/>
      <c r="H1005" s="1416"/>
      <c r="I1005" s="1416"/>
      <c r="J1005" s="1416"/>
      <c r="K1005" s="1416"/>
      <c r="L1005" s="1416"/>
      <c r="M1005" s="1416"/>
      <c r="N1005" s="1416"/>
      <c r="O1005" s="1416"/>
      <c r="P1005" s="1416"/>
      <c r="Q1005" s="1416"/>
      <c r="R1005" s="1416"/>
      <c r="S1005" s="1416"/>
      <c r="T1005" s="1416"/>
      <c r="U1005" s="1416"/>
      <c r="V1005" s="1416"/>
      <c r="W1005" s="1416"/>
      <c r="X1005" s="1416"/>
      <c r="Y1005" s="1416"/>
      <c r="Z1005" s="1416"/>
      <c r="AA1005" s="1416"/>
      <c r="AB1005" s="1416"/>
      <c r="AC1005" s="1416"/>
      <c r="AD1005" s="1416"/>
      <c r="AE1005" s="1417"/>
      <c r="AF1005" s="77"/>
      <c r="AG1005" s="7"/>
      <c r="AH1005" s="7"/>
      <c r="AI1005" s="78"/>
      <c r="AJ1005" s="1378"/>
      <c r="AK1005" s="1379"/>
      <c r="AL1005" s="1379"/>
      <c r="AM1005" s="1379"/>
      <c r="AN1005" s="1379"/>
      <c r="AO1005" s="1379"/>
      <c r="AP1005" s="1379"/>
      <c r="AQ1005" s="1380"/>
      <c r="AR1005" s="68"/>
      <c r="AS1005" s="68"/>
      <c r="AT1005" s="68"/>
      <c r="AU1005" s="68"/>
      <c r="AV1005" s="68"/>
      <c r="AW1005" s="68"/>
      <c r="AX1005" s="68"/>
      <c r="AY1005" s="948">
        <f>ROUNDDOWN(X1051/I1051,2)</f>
        <v>0.13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381" t="s">
        <v>1873</v>
      </c>
      <c r="E1006" s="1382"/>
      <c r="F1006" s="1382"/>
      <c r="G1006" s="1382"/>
      <c r="H1006" s="1382"/>
      <c r="I1006" s="1382"/>
      <c r="J1006" s="1382"/>
      <c r="K1006" s="1382"/>
      <c r="L1006" s="1382"/>
      <c r="M1006" s="1382"/>
      <c r="N1006" s="1382"/>
      <c r="O1006" s="1382"/>
      <c r="P1006" s="1382"/>
      <c r="Q1006" s="1382"/>
      <c r="R1006" s="1382"/>
      <c r="S1006" s="1382"/>
      <c r="T1006" s="1382"/>
      <c r="U1006" s="1382"/>
      <c r="V1006" s="1382"/>
      <c r="W1006" s="1382"/>
      <c r="X1006" s="1382"/>
      <c r="Y1006" s="1382"/>
      <c r="Z1006" s="1382"/>
      <c r="AA1006" s="1382"/>
      <c r="AB1006" s="1382"/>
      <c r="AC1006" s="1382"/>
      <c r="AD1006" s="1382"/>
      <c r="AE1006" s="1383"/>
      <c r="AF1006" s="86"/>
      <c r="AG1006" s="1367" t="s">
        <v>677</v>
      </c>
      <c r="AH1006" s="1368"/>
      <c r="AI1006" s="87"/>
      <c r="AJ1006" s="1372">
        <f>ROUND(IF(AG1006="yes",AJ991*0.1,0),0)</f>
        <v>0</v>
      </c>
      <c r="AK1006" s="1373"/>
      <c r="AL1006" s="1373"/>
      <c r="AM1006" s="1373"/>
      <c r="AN1006" s="1373"/>
      <c r="AO1006" s="1373"/>
      <c r="AP1006" s="1373"/>
      <c r="AQ1006" s="1374"/>
      <c r="AR1006" s="68"/>
      <c r="AS1006" s="68"/>
      <c r="AT1006" s="68"/>
      <c r="AU1006" s="68"/>
      <c r="AV1006" s="68"/>
      <c r="AW1006" s="68"/>
      <c r="AX1006" s="68"/>
      <c r="BB1006" s="34"/>
      <c r="BD1006" s="34"/>
      <c r="BE1006" s="34"/>
      <c r="BF1006" s="34"/>
    </row>
    <row r="1007" spans="1:157" ht="13" customHeight="1">
      <c r="A1007" s="14"/>
      <c r="B1007" s="73"/>
      <c r="C1007" s="74"/>
      <c r="D1007" s="1534" t="s">
        <v>1395</v>
      </c>
      <c r="E1007" s="1535"/>
      <c r="F1007" s="1535"/>
      <c r="G1007" s="1535"/>
      <c r="H1007" s="1535"/>
      <c r="I1007" s="1535"/>
      <c r="J1007" s="1535"/>
      <c r="K1007" s="1535"/>
      <c r="L1007" s="1535"/>
      <c r="M1007" s="1535"/>
      <c r="N1007" s="1535"/>
      <c r="O1007" s="1535"/>
      <c r="P1007" s="1535"/>
      <c r="Q1007" s="1535"/>
      <c r="R1007" s="1535"/>
      <c r="S1007" s="1535"/>
      <c r="T1007" s="1535"/>
      <c r="U1007" s="1535"/>
      <c r="V1007" s="1535"/>
      <c r="W1007" s="1535"/>
      <c r="X1007" s="1535"/>
      <c r="Y1007" s="1535"/>
      <c r="Z1007" s="1535"/>
      <c r="AA1007" s="1535"/>
      <c r="AB1007" s="1535"/>
      <c r="AC1007" s="1535"/>
      <c r="AD1007" s="1535"/>
      <c r="AE1007" s="1536"/>
      <c r="AF1007" s="73"/>
      <c r="AI1007" s="83"/>
      <c r="AJ1007" s="1375"/>
      <c r="AK1007" s="1376"/>
      <c r="AL1007" s="1376"/>
      <c r="AM1007" s="1376"/>
      <c r="AN1007" s="1376"/>
      <c r="AO1007" s="1376"/>
      <c r="AP1007" s="1376"/>
      <c r="AQ1007" s="1377"/>
      <c r="AR1007" s="68"/>
      <c r="AS1007" s="68"/>
      <c r="AT1007" s="68"/>
      <c r="AU1007" s="68"/>
      <c r="AV1007" s="68"/>
      <c r="AW1007" s="68"/>
      <c r="AX1007" s="68"/>
    </row>
    <row r="1008" spans="1:157" ht="13" customHeight="1">
      <c r="A1008" s="14"/>
      <c r="B1008" s="73"/>
      <c r="C1008" s="74"/>
      <c r="D1008" s="1534"/>
      <c r="E1008" s="1535"/>
      <c r="F1008" s="1535"/>
      <c r="G1008" s="1535"/>
      <c r="H1008" s="1535"/>
      <c r="I1008" s="1535"/>
      <c r="J1008" s="1535"/>
      <c r="K1008" s="1535"/>
      <c r="L1008" s="1535"/>
      <c r="M1008" s="1535"/>
      <c r="N1008" s="1535"/>
      <c r="O1008" s="1535"/>
      <c r="P1008" s="1535"/>
      <c r="Q1008" s="1535"/>
      <c r="R1008" s="1535"/>
      <c r="S1008" s="1535"/>
      <c r="T1008" s="1535"/>
      <c r="U1008" s="1535"/>
      <c r="V1008" s="1535"/>
      <c r="W1008" s="1535"/>
      <c r="X1008" s="1535"/>
      <c r="Y1008" s="1535"/>
      <c r="Z1008" s="1535"/>
      <c r="AA1008" s="1535"/>
      <c r="AB1008" s="1535"/>
      <c r="AC1008" s="1535"/>
      <c r="AD1008" s="1535"/>
      <c r="AE1008" s="1536"/>
      <c r="AF1008" s="73"/>
      <c r="AG1008" s="14"/>
      <c r="AH1008" s="14"/>
      <c r="AI1008" s="83"/>
      <c r="AJ1008" s="1375"/>
      <c r="AK1008" s="1376"/>
      <c r="AL1008" s="1376"/>
      <c r="AM1008" s="1376"/>
      <c r="AN1008" s="1376"/>
      <c r="AO1008" s="1376"/>
      <c r="AP1008" s="1376"/>
      <c r="AQ1008" s="1377"/>
      <c r="AR1008" s="68"/>
      <c r="AS1008" s="68"/>
      <c r="AT1008" s="68"/>
      <c r="AU1008" s="68"/>
      <c r="AV1008" s="68"/>
      <c r="AW1008" s="68"/>
      <c r="AX1008" s="68"/>
    </row>
    <row r="1009" spans="1:51" ht="13" customHeight="1">
      <c r="A1009" s="14"/>
      <c r="B1009" s="85"/>
      <c r="C1009" s="76"/>
      <c r="D1009" s="1551"/>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3"/>
      <c r="AF1009" s="77"/>
      <c r="AG1009" s="7"/>
      <c r="AH1009" s="7"/>
      <c r="AI1009" s="78"/>
      <c r="AJ1009" s="1378"/>
      <c r="AK1009" s="1379"/>
      <c r="AL1009" s="1379"/>
      <c r="AM1009" s="1379"/>
      <c r="AN1009" s="1379"/>
      <c r="AO1009" s="1379"/>
      <c r="AP1009" s="1379"/>
      <c r="AQ1009" s="1380"/>
      <c r="AR1009" s="68"/>
      <c r="AS1009" s="68"/>
      <c r="AT1009" s="68"/>
      <c r="AU1009" s="68"/>
      <c r="AV1009" s="68"/>
      <c r="AW1009" s="68"/>
      <c r="AX1009" s="68"/>
    </row>
    <row r="1010" spans="1:51" ht="13" customHeight="1">
      <c r="A1010" s="14"/>
      <c r="B1010" s="79"/>
      <c r="C1010" s="80" t="s">
        <v>212</v>
      </c>
      <c r="D1010" s="1381" t="s">
        <v>1397</v>
      </c>
      <c r="E1010" s="1382"/>
      <c r="F1010" s="1382"/>
      <c r="G1010" s="1382"/>
      <c r="H1010" s="1382"/>
      <c r="I1010" s="1382"/>
      <c r="J1010" s="1382"/>
      <c r="K1010" s="1382"/>
      <c r="L1010" s="1382"/>
      <c r="M1010" s="1382"/>
      <c r="N1010" s="1382"/>
      <c r="O1010" s="1382"/>
      <c r="P1010" s="1382"/>
      <c r="Q1010" s="1382"/>
      <c r="R1010" s="1382"/>
      <c r="S1010" s="1382"/>
      <c r="T1010" s="1382"/>
      <c r="U1010" s="1382"/>
      <c r="V1010" s="1382"/>
      <c r="W1010" s="1382"/>
      <c r="X1010" s="1382"/>
      <c r="Y1010" s="1382"/>
      <c r="Z1010" s="1382"/>
      <c r="AA1010" s="1382"/>
      <c r="AB1010" s="1382"/>
      <c r="AC1010" s="1382"/>
      <c r="AD1010" s="1382"/>
      <c r="AE1010" s="1383"/>
      <c r="AF1010" s="79"/>
      <c r="AG1010" s="1367" t="s">
        <v>677</v>
      </c>
      <c r="AH1010" s="1368"/>
      <c r="AI1010" s="87"/>
      <c r="AJ1010" s="1372">
        <f>ROUND(IF(AG1010="yes",AJ991*0.02,0),0)</f>
        <v>0</v>
      </c>
      <c r="AK1010" s="1373"/>
      <c r="AL1010" s="1373"/>
      <c r="AM1010" s="1373"/>
      <c r="AN1010" s="1373"/>
      <c r="AO1010" s="1373"/>
      <c r="AP1010" s="1373"/>
      <c r="AQ1010" s="1374"/>
      <c r="AR1010" s="68"/>
      <c r="AS1010" s="68"/>
      <c r="AT1010" s="68"/>
      <c r="AU1010" s="68"/>
      <c r="AV1010" s="68"/>
      <c r="AW1010" s="68"/>
      <c r="AX1010" s="68"/>
      <c r="AY1010" s="215">
        <f>IF(SUM(AY1012:AY1020)&lt;=0.1,SUM(AY1012:AY1020),0.1)</f>
        <v>0</v>
      </c>
    </row>
    <row r="1011" spans="1:51" ht="14.25" customHeight="1">
      <c r="A1011" s="14"/>
      <c r="B1011" s="73"/>
      <c r="C1011" s="74"/>
      <c r="D1011" s="1551" t="s">
        <v>1398</v>
      </c>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3"/>
      <c r="AF1011" s="77"/>
      <c r="AG1011" s="7"/>
      <c r="AH1011" s="7"/>
      <c r="AI1011" s="78"/>
      <c r="AJ1011" s="1378"/>
      <c r="AK1011" s="1379"/>
      <c r="AL1011" s="1379"/>
      <c r="AM1011" s="1379"/>
      <c r="AN1011" s="1379"/>
      <c r="AO1011" s="1379"/>
      <c r="AP1011" s="1379"/>
      <c r="AQ1011" s="1380"/>
      <c r="AR1011" s="68"/>
      <c r="AS1011" s="68"/>
      <c r="AT1011" s="68"/>
      <c r="AU1011" s="68"/>
      <c r="AV1011" s="68"/>
      <c r="AW1011" s="68"/>
      <c r="AX1011" s="68"/>
    </row>
    <row r="1012" spans="1:51" ht="13" customHeight="1">
      <c r="A1012" s="14"/>
      <c r="B1012" s="79"/>
      <c r="C1012" s="80" t="s">
        <v>215</v>
      </c>
      <c r="D1012" s="1381" t="s">
        <v>1399</v>
      </c>
      <c r="E1012" s="1382"/>
      <c r="F1012" s="1382"/>
      <c r="G1012" s="1382"/>
      <c r="H1012" s="1382"/>
      <c r="I1012" s="1382"/>
      <c r="J1012" s="1382"/>
      <c r="K1012" s="1382"/>
      <c r="L1012" s="1382"/>
      <c r="M1012" s="1382"/>
      <c r="N1012" s="1382"/>
      <c r="O1012" s="1382"/>
      <c r="P1012" s="1382"/>
      <c r="Q1012" s="1382"/>
      <c r="R1012" s="1382"/>
      <c r="S1012" s="1382"/>
      <c r="T1012" s="1382"/>
      <c r="U1012" s="1382"/>
      <c r="V1012" s="1382"/>
      <c r="W1012" s="1382"/>
      <c r="X1012" s="1382"/>
      <c r="Y1012" s="1382"/>
      <c r="Z1012" s="1382"/>
      <c r="AA1012" s="1382"/>
      <c r="AB1012" s="1382"/>
      <c r="AC1012" s="1382"/>
      <c r="AD1012" s="1382"/>
      <c r="AE1012" s="1383"/>
      <c r="AF1012" s="79"/>
      <c r="AG1012" s="1367" t="s">
        <v>677</v>
      </c>
      <c r="AH1012" s="1368"/>
      <c r="AI1012" s="79"/>
      <c r="AJ1012" s="1372">
        <f>ROUND(IF(AG1012="yes",AJ991*0.02,0),0)</f>
        <v>0</v>
      </c>
      <c r="AK1012" s="1373"/>
      <c r="AL1012" s="1373"/>
      <c r="AM1012" s="1373"/>
      <c r="AN1012" s="1373"/>
      <c r="AO1012" s="1373"/>
      <c r="AP1012" s="1373"/>
      <c r="AQ1012" s="1374"/>
      <c r="AR1012" s="68"/>
      <c r="AS1012" s="68"/>
      <c r="AT1012" s="68"/>
      <c r="AU1012" s="68"/>
      <c r="AV1012" s="68"/>
      <c r="AW1012" s="68"/>
      <c r="AX1012" s="68"/>
      <c r="AY1012" s="213">
        <f>IF(A1064="Yes",0.05,0)</f>
        <v>0</v>
      </c>
    </row>
    <row r="1013" spans="1:51" ht="13" customHeight="1">
      <c r="A1013" s="14"/>
      <c r="B1013" s="73"/>
      <c r="C1013" s="74"/>
      <c r="D1013" s="1534" t="s">
        <v>1400</v>
      </c>
      <c r="E1013" s="1535"/>
      <c r="F1013" s="1535"/>
      <c r="G1013" s="1535"/>
      <c r="H1013" s="1535"/>
      <c r="I1013" s="1535"/>
      <c r="J1013" s="1535"/>
      <c r="K1013" s="1535"/>
      <c r="L1013" s="1535"/>
      <c r="M1013" s="1535"/>
      <c r="N1013" s="1535"/>
      <c r="O1013" s="1535"/>
      <c r="P1013" s="1535"/>
      <c r="Q1013" s="1535"/>
      <c r="R1013" s="1535"/>
      <c r="S1013" s="1535"/>
      <c r="T1013" s="1535"/>
      <c r="U1013" s="1535"/>
      <c r="V1013" s="1535"/>
      <c r="W1013" s="1535"/>
      <c r="X1013" s="1535"/>
      <c r="Y1013" s="1535"/>
      <c r="Z1013" s="1535"/>
      <c r="AA1013" s="1535"/>
      <c r="AB1013" s="1535"/>
      <c r="AC1013" s="1535"/>
      <c r="AD1013" s="1535"/>
      <c r="AE1013" s="1536"/>
      <c r="AF1013" s="1440" t="str">
        <f>IF(AND(AG1012="yes",AB212&lt;&gt;1),"The project may not be eligible for this boost","")</f>
        <v/>
      </c>
      <c r="AG1013" s="1441"/>
      <c r="AH1013" s="1441"/>
      <c r="AI1013" s="1442"/>
      <c r="AJ1013" s="1375"/>
      <c r="AK1013" s="1376"/>
      <c r="AL1013" s="1376"/>
      <c r="AM1013" s="1376"/>
      <c r="AN1013" s="1376"/>
      <c r="AO1013" s="1376"/>
      <c r="AP1013" s="1376"/>
      <c r="AQ1013" s="1377"/>
      <c r="AR1013" s="68"/>
      <c r="AS1013" s="68"/>
      <c r="AT1013" s="68"/>
      <c r="AU1013" s="68"/>
      <c r="AV1013" s="68"/>
      <c r="AW1013" s="68"/>
      <c r="AX1013" s="68"/>
      <c r="AY1013" s="213">
        <f>IF(A1070="Yes",0.02,0)</f>
        <v>0</v>
      </c>
    </row>
    <row r="1014" spans="1:51" ht="13" customHeight="1">
      <c r="A1014" s="14"/>
      <c r="B1014" s="75"/>
      <c r="C1014" s="76"/>
      <c r="D1014" s="1551"/>
      <c r="E1014" s="1552"/>
      <c r="F1014" s="1552"/>
      <c r="G1014" s="1552"/>
      <c r="H1014" s="1552"/>
      <c r="I1014" s="1552"/>
      <c r="J1014" s="1552"/>
      <c r="K1014" s="1552"/>
      <c r="L1014" s="1552"/>
      <c r="M1014" s="1552"/>
      <c r="N1014" s="1552"/>
      <c r="O1014" s="1552"/>
      <c r="P1014" s="1552"/>
      <c r="Q1014" s="1552"/>
      <c r="R1014" s="1552"/>
      <c r="S1014" s="1552"/>
      <c r="T1014" s="1552"/>
      <c r="U1014" s="1552"/>
      <c r="V1014" s="1552"/>
      <c r="W1014" s="1552"/>
      <c r="X1014" s="1552"/>
      <c r="Y1014" s="1552"/>
      <c r="Z1014" s="1552"/>
      <c r="AA1014" s="1552"/>
      <c r="AB1014" s="1552"/>
      <c r="AC1014" s="1552"/>
      <c r="AD1014" s="1552"/>
      <c r="AE1014" s="1553"/>
      <c r="AF1014" s="1443"/>
      <c r="AG1014" s="1444"/>
      <c r="AH1014" s="1444"/>
      <c r="AI1014" s="1445"/>
      <c r="AJ1014" s="1378"/>
      <c r="AK1014" s="1379"/>
      <c r="AL1014" s="1379"/>
      <c r="AM1014" s="1379"/>
      <c r="AN1014" s="1379"/>
      <c r="AO1014" s="1379"/>
      <c r="AP1014" s="1379"/>
      <c r="AQ1014" s="1380"/>
      <c r="AR1014" s="68"/>
      <c r="AS1014" s="68"/>
      <c r="AT1014" s="68"/>
      <c r="AU1014" s="68"/>
      <c r="AV1014" s="68"/>
      <c r="AW1014" s="68"/>
      <c r="AX1014" s="68"/>
      <c r="AY1014" s="213">
        <f>IF(A1076="Yes",0.04,0)</f>
        <v>0</v>
      </c>
    </row>
    <row r="1015" spans="1:51" ht="13" customHeight="1">
      <c r="A1015" s="14"/>
      <c r="B1015" s="79"/>
      <c r="C1015" s="80" t="s">
        <v>218</v>
      </c>
      <c r="D1015" s="1548" t="s">
        <v>1401</v>
      </c>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50"/>
      <c r="AF1015" s="79"/>
      <c r="AG1015" s="1367" t="s">
        <v>677</v>
      </c>
      <c r="AH1015" s="1368"/>
      <c r="AI1015" s="87"/>
      <c r="AJ1015" s="1372">
        <f>IF(AG1015="yes",AJ991*AY1010,0)</f>
        <v>0</v>
      </c>
      <c r="AK1015" s="1373"/>
      <c r="AL1015" s="1373"/>
      <c r="AM1015" s="1373"/>
      <c r="AN1015" s="1373"/>
      <c r="AO1015" s="1373"/>
      <c r="AP1015" s="1373"/>
      <c r="AQ1015" s="1374"/>
      <c r="AR1015" s="68"/>
      <c r="AS1015" s="68"/>
      <c r="AT1015" s="68"/>
      <c r="AU1015" s="68"/>
      <c r="AV1015" s="68"/>
      <c r="AW1015" s="68"/>
      <c r="AX1015" s="68"/>
      <c r="AY1015" s="213">
        <f>IF(A1083="Yes",0.04,0)</f>
        <v>0</v>
      </c>
    </row>
    <row r="1016" spans="1:51" ht="13" customHeight="1">
      <c r="A1016" s="14"/>
      <c r="B1016" s="73"/>
      <c r="C1016" s="74"/>
      <c r="D1016" s="1534" t="s">
        <v>1402</v>
      </c>
      <c r="E1016" s="1535"/>
      <c r="F1016" s="1535"/>
      <c r="G1016" s="1535"/>
      <c r="H1016" s="1535"/>
      <c r="I1016" s="1535"/>
      <c r="J1016" s="1535"/>
      <c r="K1016" s="1535"/>
      <c r="L1016" s="1535"/>
      <c r="M1016" s="1535"/>
      <c r="N1016" s="1535"/>
      <c r="O1016" s="1535"/>
      <c r="P1016" s="1535"/>
      <c r="Q1016" s="1535"/>
      <c r="R1016" s="1535"/>
      <c r="S1016" s="1535"/>
      <c r="T1016" s="1535"/>
      <c r="U1016" s="1535"/>
      <c r="V1016" s="1535"/>
      <c r="W1016" s="1535"/>
      <c r="X1016" s="1535"/>
      <c r="Y1016" s="1535"/>
      <c r="Z1016" s="1535"/>
      <c r="AA1016" s="1535"/>
      <c r="AB1016" s="1535"/>
      <c r="AC1016" s="1535"/>
      <c r="AD1016" s="1535"/>
      <c r="AE1016" s="1536"/>
      <c r="AF1016" s="1434" t="str">
        <f>IF(AND(AG1015="Yes",AY1010=0),AY1022,"")</f>
        <v/>
      </c>
      <c r="AG1016" s="1435"/>
      <c r="AH1016" s="1435"/>
      <c r="AI1016" s="1436"/>
      <c r="AJ1016" s="1375"/>
      <c r="AK1016" s="1376"/>
      <c r="AL1016" s="1376"/>
      <c r="AM1016" s="1376"/>
      <c r="AN1016" s="1376"/>
      <c r="AO1016" s="1376"/>
      <c r="AP1016" s="1376"/>
      <c r="AQ1016" s="1377"/>
      <c r="AR1016" s="68"/>
      <c r="AS1016" s="68"/>
      <c r="AT1016" s="68"/>
      <c r="AU1016" s="68"/>
      <c r="AV1016" s="68"/>
      <c r="AW1016" s="68"/>
      <c r="AX1016" s="68"/>
      <c r="AY1016" s="213">
        <f>IF(A1086="Yes",0.01,0)</f>
        <v>0</v>
      </c>
    </row>
    <row r="1017" spans="1:51" ht="13" customHeight="1">
      <c r="A1017" s="14"/>
      <c r="B1017" s="73"/>
      <c r="C1017" s="74"/>
      <c r="D1017" s="1534"/>
      <c r="E1017" s="1535"/>
      <c r="F1017" s="1535"/>
      <c r="G1017" s="1535"/>
      <c r="H1017" s="1535"/>
      <c r="I1017" s="1535"/>
      <c r="J1017" s="1535"/>
      <c r="K1017" s="1535"/>
      <c r="L1017" s="1535"/>
      <c r="M1017" s="1535"/>
      <c r="N1017" s="1535"/>
      <c r="O1017" s="1535"/>
      <c r="P1017" s="1535"/>
      <c r="Q1017" s="1535"/>
      <c r="R1017" s="1535"/>
      <c r="S1017" s="1535"/>
      <c r="T1017" s="1535"/>
      <c r="U1017" s="1535"/>
      <c r="V1017" s="1535"/>
      <c r="W1017" s="1535"/>
      <c r="X1017" s="1535"/>
      <c r="Y1017" s="1535"/>
      <c r="Z1017" s="1535"/>
      <c r="AA1017" s="1535"/>
      <c r="AB1017" s="1535"/>
      <c r="AC1017" s="1535"/>
      <c r="AD1017" s="1535"/>
      <c r="AE1017" s="1536"/>
      <c r="AF1017" s="1434"/>
      <c r="AG1017" s="1435"/>
      <c r="AH1017" s="1435"/>
      <c r="AI1017" s="1436"/>
      <c r="AJ1017" s="1375"/>
      <c r="AK1017" s="1376"/>
      <c r="AL1017" s="1376"/>
      <c r="AM1017" s="1376"/>
      <c r="AN1017" s="1376"/>
      <c r="AO1017" s="1376"/>
      <c r="AP1017" s="1376"/>
      <c r="AQ1017" s="1377"/>
      <c r="AR1017" s="68"/>
      <c r="AS1017" s="68"/>
      <c r="AT1017" s="68"/>
      <c r="AU1017" s="68"/>
      <c r="AV1017" s="68"/>
      <c r="AW1017" s="68"/>
      <c r="AX1017" s="68"/>
      <c r="AY1017" s="213">
        <f>IF(A1091="Yes",0.01,0)</f>
        <v>0</v>
      </c>
    </row>
    <row r="1018" spans="1:51" ht="13" customHeight="1">
      <c r="A1018" s="14"/>
      <c r="B1018" s="81"/>
      <c r="C1018" s="82"/>
      <c r="D1018" s="1551"/>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3"/>
      <c r="AF1018" s="1437"/>
      <c r="AG1018" s="1438"/>
      <c r="AH1018" s="1438"/>
      <c r="AI1018" s="1439"/>
      <c r="AJ1018" s="1378"/>
      <c r="AK1018" s="1379"/>
      <c r="AL1018" s="1379"/>
      <c r="AM1018" s="1379"/>
      <c r="AN1018" s="1379"/>
      <c r="AO1018" s="1379"/>
      <c r="AP1018" s="1379"/>
      <c r="AQ1018" s="1380"/>
      <c r="AR1018" s="68"/>
      <c r="AS1018" s="68"/>
      <c r="AT1018" s="68"/>
      <c r="AU1018" s="68"/>
      <c r="AV1018" s="68"/>
      <c r="AW1018" s="68"/>
      <c r="AX1018" s="68"/>
      <c r="AY1018" s="213">
        <f>IF(A1094="Yes",0.01,0)</f>
        <v>0</v>
      </c>
    </row>
    <row r="1019" spans="1:51" ht="13" customHeight="1">
      <c r="A1019" s="14"/>
      <c r="B1019" s="79"/>
      <c r="C1019" s="80" t="s">
        <v>223</v>
      </c>
      <c r="D1019" s="1592" t="s">
        <v>1403</v>
      </c>
      <c r="E1019" s="1593"/>
      <c r="F1019" s="1593"/>
      <c r="G1019" s="1593"/>
      <c r="H1019" s="1593"/>
      <c r="I1019" s="1593"/>
      <c r="J1019" s="1593"/>
      <c r="K1019" s="1593"/>
      <c r="L1019" s="1593"/>
      <c r="M1019" s="1593"/>
      <c r="N1019" s="1593"/>
      <c r="O1019" s="1593"/>
      <c r="P1019" s="1593"/>
      <c r="Q1019" s="1593"/>
      <c r="R1019" s="1593"/>
      <c r="S1019" s="1593"/>
      <c r="T1019" s="1593"/>
      <c r="U1019" s="1593"/>
      <c r="V1019" s="1593"/>
      <c r="W1019" s="1593"/>
      <c r="X1019" s="1593"/>
      <c r="Y1019" s="1593"/>
      <c r="Z1019" s="1593"/>
      <c r="AA1019" s="1593"/>
      <c r="AB1019" s="1593"/>
      <c r="AC1019" s="1593"/>
      <c r="AD1019" s="1593"/>
      <c r="AE1019" s="1594"/>
      <c r="AF1019" s="79"/>
      <c r="AG1019" s="1367" t="s">
        <v>677</v>
      </c>
      <c r="AH1019" s="1368"/>
      <c r="AI1019" s="87"/>
      <c r="AJ1019" s="1372">
        <f>ROUND(IF(AND(AG1019="Yes",J1023&lt;&gt;"N/A",AF1022&lt;&gt;""),MIN(AF1022,(0.15*AJ991)),0),0)</f>
        <v>0</v>
      </c>
      <c r="AK1019" s="1373"/>
      <c r="AL1019" s="1373"/>
      <c r="AM1019" s="1373"/>
      <c r="AN1019" s="1373"/>
      <c r="AO1019" s="1373"/>
      <c r="AP1019" s="1373"/>
      <c r="AQ1019" s="1374"/>
      <c r="AR1019" s="68"/>
      <c r="AS1019" s="68"/>
      <c r="AT1019" s="68"/>
      <c r="AU1019" s="68"/>
      <c r="AV1019" s="68"/>
      <c r="AW1019" s="68"/>
      <c r="AX1019" s="68"/>
      <c r="AY1019" s="213">
        <f>IF(A1098="Yes",0.02,0)</f>
        <v>0</v>
      </c>
    </row>
    <row r="1020" spans="1:51" ht="13" customHeight="1">
      <c r="A1020" s="14"/>
      <c r="B1020" s="81"/>
      <c r="C1020" s="84"/>
      <c r="D1020" s="1595"/>
      <c r="E1020" s="1596"/>
      <c r="F1020" s="1596"/>
      <c r="G1020" s="1596"/>
      <c r="H1020" s="1596"/>
      <c r="I1020" s="1596"/>
      <c r="J1020" s="1596"/>
      <c r="K1020" s="1596"/>
      <c r="L1020" s="1596"/>
      <c r="M1020" s="1596"/>
      <c r="N1020" s="1596"/>
      <c r="O1020" s="1596"/>
      <c r="P1020" s="1596"/>
      <c r="Q1020" s="1596"/>
      <c r="R1020" s="1596"/>
      <c r="S1020" s="1596"/>
      <c r="T1020" s="1596"/>
      <c r="U1020" s="1596"/>
      <c r="V1020" s="1596"/>
      <c r="W1020" s="1596"/>
      <c r="X1020" s="1596"/>
      <c r="Y1020" s="1596"/>
      <c r="Z1020" s="1596"/>
      <c r="AA1020" s="1596"/>
      <c r="AB1020" s="1596"/>
      <c r="AC1020" s="1596"/>
      <c r="AD1020" s="1596"/>
      <c r="AE1020" s="1597"/>
      <c r="AF1020" s="1554" t="str">
        <f>IF(AG1019="yes","Please Select Type and Enter Amount:","")</f>
        <v/>
      </c>
      <c r="AG1020" s="1555"/>
      <c r="AH1020" s="1555"/>
      <c r="AI1020" s="1556"/>
      <c r="AJ1020" s="1375"/>
      <c r="AK1020" s="1376"/>
      <c r="AL1020" s="1376"/>
      <c r="AM1020" s="1376"/>
      <c r="AN1020" s="1376"/>
      <c r="AO1020" s="1376"/>
      <c r="AP1020" s="1376"/>
      <c r="AQ1020" s="1377"/>
      <c r="AR1020" s="68"/>
      <c r="AS1020" s="68"/>
      <c r="AT1020" s="68"/>
      <c r="AU1020" s="68"/>
      <c r="AV1020" s="68"/>
      <c r="AW1020" s="68"/>
      <c r="AX1020" s="68"/>
      <c r="AY1020" s="214">
        <f>IF(A1103="Yes",0.02,0)</f>
        <v>0</v>
      </c>
    </row>
    <row r="1021" spans="1:51" ht="13" customHeight="1">
      <c r="A1021" s="14"/>
      <c r="B1021" s="81"/>
      <c r="C1021" s="84"/>
      <c r="D1021" s="1534" t="s">
        <v>1404</v>
      </c>
      <c r="E1021" s="1535"/>
      <c r="F1021" s="1535"/>
      <c r="G1021" s="1535"/>
      <c r="H1021" s="1535"/>
      <c r="I1021" s="1535"/>
      <c r="J1021" s="1535"/>
      <c r="K1021" s="1535"/>
      <c r="L1021" s="1535"/>
      <c r="M1021" s="1535"/>
      <c r="N1021" s="1535"/>
      <c r="O1021" s="1535"/>
      <c r="P1021" s="1535"/>
      <c r="Q1021" s="1535"/>
      <c r="R1021" s="1535"/>
      <c r="S1021" s="1535"/>
      <c r="T1021" s="1535"/>
      <c r="U1021" s="1535"/>
      <c r="V1021" s="1535"/>
      <c r="W1021" s="1535"/>
      <c r="X1021" s="1535"/>
      <c r="Y1021" s="1535"/>
      <c r="Z1021" s="1535"/>
      <c r="AA1021" s="1535"/>
      <c r="AB1021" s="1535"/>
      <c r="AC1021" s="1535"/>
      <c r="AD1021" s="1535"/>
      <c r="AE1021" s="1536"/>
      <c r="AF1021" s="1554"/>
      <c r="AG1021" s="1555"/>
      <c r="AH1021" s="1555"/>
      <c r="AI1021" s="1556"/>
      <c r="AJ1021" s="1375"/>
      <c r="AK1021" s="1376"/>
      <c r="AL1021" s="1376"/>
      <c r="AM1021" s="1376"/>
      <c r="AN1021" s="1376"/>
      <c r="AO1021" s="1376"/>
      <c r="AP1021" s="1376"/>
      <c r="AQ1021" s="1377"/>
      <c r="AR1021" s="68"/>
      <c r="AS1021" s="68"/>
      <c r="AT1021" s="68"/>
      <c r="AU1021" s="68"/>
      <c r="AV1021" s="68"/>
      <c r="AW1021" s="68"/>
      <c r="AX1021" s="68"/>
      <c r="AY1021" s="68"/>
    </row>
    <row r="1022" spans="1:51" ht="13" customHeight="1">
      <c r="A1022" s="14"/>
      <c r="B1022" s="81"/>
      <c r="C1022" s="84"/>
      <c r="D1022" s="1534"/>
      <c r="E1022" s="1535"/>
      <c r="F1022" s="1535"/>
      <c r="G1022" s="1535"/>
      <c r="H1022" s="1535"/>
      <c r="I1022" s="1535"/>
      <c r="J1022" s="1535"/>
      <c r="K1022" s="1535"/>
      <c r="L1022" s="1535"/>
      <c r="M1022" s="1535"/>
      <c r="N1022" s="1535"/>
      <c r="O1022" s="1535"/>
      <c r="P1022" s="1535"/>
      <c r="Q1022" s="1535"/>
      <c r="R1022" s="1535"/>
      <c r="S1022" s="1535"/>
      <c r="T1022" s="1535"/>
      <c r="U1022" s="1535"/>
      <c r="V1022" s="1535"/>
      <c r="W1022" s="1535"/>
      <c r="X1022" s="1535"/>
      <c r="Y1022" s="1535"/>
      <c r="Z1022" s="1535"/>
      <c r="AA1022" s="1535"/>
      <c r="AB1022" s="1535"/>
      <c r="AC1022" s="1535"/>
      <c r="AD1022" s="1535"/>
      <c r="AE1022" s="1536"/>
      <c r="AF1022" s="1405"/>
      <c r="AG1022" s="1405"/>
      <c r="AH1022" s="1405"/>
      <c r="AI1022" s="1405"/>
      <c r="AJ1022" s="1375"/>
      <c r="AK1022" s="1376"/>
      <c r="AL1022" s="1376"/>
      <c r="AM1022" s="1376"/>
      <c r="AN1022" s="1376"/>
      <c r="AO1022" s="1376"/>
      <c r="AP1022" s="1376"/>
      <c r="AQ1022" s="1377"/>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37" t="s">
        <v>599</v>
      </c>
      <c r="K1023" s="1538"/>
      <c r="L1023" s="1538"/>
      <c r="M1023" s="1538"/>
      <c r="N1023" s="1538"/>
      <c r="O1023" s="1538"/>
      <c r="P1023" s="1538"/>
      <c r="Q1023" s="1538"/>
      <c r="R1023" s="1538"/>
      <c r="S1023" s="1538"/>
      <c r="T1023" s="1538"/>
      <c r="U1023" s="1538"/>
      <c r="V1023" s="1538"/>
      <c r="W1023" s="1538"/>
      <c r="X1023" s="1538"/>
      <c r="Y1023" s="1538"/>
      <c r="Z1023" s="1538"/>
      <c r="AA1023" s="1538"/>
      <c r="AB1023" s="1538"/>
      <c r="AC1023" s="1538"/>
      <c r="AD1023" s="1538"/>
      <c r="AE1023" s="1539"/>
      <c r="AF1023" s="1405"/>
      <c r="AG1023" s="1405"/>
      <c r="AH1023" s="1405"/>
      <c r="AI1023" s="1405"/>
      <c r="AJ1023" s="1378"/>
      <c r="AK1023" s="1379"/>
      <c r="AL1023" s="1379"/>
      <c r="AM1023" s="1379"/>
      <c r="AN1023" s="1379"/>
      <c r="AO1023" s="1379"/>
      <c r="AP1023" s="1379"/>
      <c r="AQ1023" s="1380"/>
      <c r="AR1023" s="68"/>
      <c r="AS1023" s="68"/>
      <c r="AT1023" s="68"/>
      <c r="AU1023" s="68"/>
      <c r="AV1023" s="68"/>
      <c r="AW1023" s="68"/>
      <c r="AX1023" s="68"/>
      <c r="AY1023" s="68"/>
    </row>
    <row r="1024" spans="1:51" ht="13" customHeight="1">
      <c r="A1024" s="14"/>
      <c r="B1024" s="79"/>
      <c r="C1024" s="80" t="s">
        <v>229</v>
      </c>
      <c r="D1024" s="1381" t="s">
        <v>1405</v>
      </c>
      <c r="E1024" s="1382"/>
      <c r="F1024" s="1382"/>
      <c r="G1024" s="1382"/>
      <c r="H1024" s="1382"/>
      <c r="I1024" s="1382"/>
      <c r="J1024" s="1382"/>
      <c r="K1024" s="1382"/>
      <c r="L1024" s="1382"/>
      <c r="M1024" s="1382"/>
      <c r="N1024" s="1382"/>
      <c r="O1024" s="1382"/>
      <c r="P1024" s="1382"/>
      <c r="Q1024" s="1382"/>
      <c r="R1024" s="1382"/>
      <c r="S1024" s="1382"/>
      <c r="T1024" s="1382"/>
      <c r="U1024" s="1382"/>
      <c r="V1024" s="1382"/>
      <c r="W1024" s="1382"/>
      <c r="X1024" s="1382"/>
      <c r="Y1024" s="1382"/>
      <c r="Z1024" s="1382"/>
      <c r="AA1024" s="1382"/>
      <c r="AB1024" s="1382"/>
      <c r="AC1024" s="1382"/>
      <c r="AD1024" s="1382"/>
      <c r="AE1024" s="1383"/>
      <c r="AF1024" s="79"/>
      <c r="AG1024" s="1367" t="s">
        <v>677</v>
      </c>
      <c r="AH1024" s="1368"/>
      <c r="AI1024" s="87"/>
      <c r="AJ1024" s="1372">
        <f>ROUND(IF(AG1024="Yes",AF1026,0),0)</f>
        <v>0</v>
      </c>
      <c r="AK1024" s="1373"/>
      <c r="AL1024" s="1373"/>
      <c r="AM1024" s="1373"/>
      <c r="AN1024" s="1373"/>
      <c r="AO1024" s="1373"/>
      <c r="AP1024" s="1373"/>
      <c r="AQ1024" s="1374"/>
      <c r="AR1024" s="68"/>
      <c r="AS1024" s="68"/>
      <c r="AT1024" s="68"/>
      <c r="AU1024" s="68"/>
      <c r="AV1024" s="68"/>
      <c r="AW1024" s="68"/>
      <c r="AX1024" s="68"/>
      <c r="AY1024" s="68"/>
    </row>
    <row r="1025" spans="1:51" ht="13" customHeight="1">
      <c r="A1025" s="14"/>
      <c r="B1025" s="73"/>
      <c r="C1025" s="74"/>
      <c r="D1025" s="1534" t="s">
        <v>1880</v>
      </c>
      <c r="E1025" s="1535"/>
      <c r="F1025" s="1535"/>
      <c r="G1025" s="1535"/>
      <c r="H1025" s="1535"/>
      <c r="I1025" s="1535"/>
      <c r="J1025" s="1535"/>
      <c r="K1025" s="1535"/>
      <c r="L1025" s="1535"/>
      <c r="M1025" s="1535"/>
      <c r="N1025" s="1535"/>
      <c r="O1025" s="1535"/>
      <c r="P1025" s="1535"/>
      <c r="Q1025" s="1535"/>
      <c r="R1025" s="1535"/>
      <c r="S1025" s="1535"/>
      <c r="T1025" s="1535"/>
      <c r="U1025" s="1535"/>
      <c r="V1025" s="1535"/>
      <c r="W1025" s="1535"/>
      <c r="X1025" s="1535"/>
      <c r="Y1025" s="1535"/>
      <c r="Z1025" s="1535"/>
      <c r="AA1025" s="1535"/>
      <c r="AB1025" s="1535"/>
      <c r="AC1025" s="1535"/>
      <c r="AD1025" s="1535"/>
      <c r="AE1025" s="1536"/>
      <c r="AF1025" s="1369" t="str">
        <f>IF(AG1024="yes","Enter Amount:","")</f>
        <v/>
      </c>
      <c r="AG1025" s="1370"/>
      <c r="AH1025" s="1370"/>
      <c r="AI1025" s="1371"/>
      <c r="AJ1025" s="1375"/>
      <c r="AK1025" s="1376"/>
      <c r="AL1025" s="1376"/>
      <c r="AM1025" s="1376"/>
      <c r="AN1025" s="1376"/>
      <c r="AO1025" s="1376"/>
      <c r="AP1025" s="1376"/>
      <c r="AQ1025" s="1377"/>
      <c r="AR1025" s="68"/>
      <c r="AS1025" s="68"/>
      <c r="AT1025" s="68"/>
      <c r="AU1025" s="68"/>
      <c r="AV1025" s="68"/>
      <c r="AW1025" s="68"/>
      <c r="AX1025" s="68"/>
      <c r="AY1025" s="68"/>
    </row>
    <row r="1026" spans="1:51" ht="13" customHeight="1">
      <c r="A1026" s="14"/>
      <c r="B1026" s="73"/>
      <c r="C1026" s="74"/>
      <c r="D1026" s="1534"/>
      <c r="E1026" s="1535"/>
      <c r="F1026" s="1535"/>
      <c r="G1026" s="1535"/>
      <c r="H1026" s="1535"/>
      <c r="I1026" s="1535"/>
      <c r="J1026" s="1535"/>
      <c r="K1026" s="1535"/>
      <c r="L1026" s="1535"/>
      <c r="M1026" s="1535"/>
      <c r="N1026" s="1535"/>
      <c r="O1026" s="1535"/>
      <c r="P1026" s="1535"/>
      <c r="Q1026" s="1535"/>
      <c r="R1026" s="1535"/>
      <c r="S1026" s="1535"/>
      <c r="T1026" s="1535"/>
      <c r="U1026" s="1535"/>
      <c r="V1026" s="1535"/>
      <c r="W1026" s="1535"/>
      <c r="X1026" s="1535"/>
      <c r="Y1026" s="1535"/>
      <c r="Z1026" s="1535"/>
      <c r="AA1026" s="1535"/>
      <c r="AB1026" s="1535"/>
      <c r="AC1026" s="1535"/>
      <c r="AD1026" s="1535"/>
      <c r="AE1026" s="1536"/>
      <c r="AF1026" s="1405"/>
      <c r="AG1026" s="1405"/>
      <c r="AH1026" s="1405"/>
      <c r="AI1026" s="1405"/>
      <c r="AJ1026" s="1375"/>
      <c r="AK1026" s="1376"/>
      <c r="AL1026" s="1376"/>
      <c r="AM1026" s="1376"/>
      <c r="AN1026" s="1376"/>
      <c r="AO1026" s="1376"/>
      <c r="AP1026" s="1376"/>
      <c r="AQ1026" s="1377"/>
      <c r="AR1026" s="68"/>
      <c r="AS1026" s="68"/>
      <c r="AT1026" s="68"/>
      <c r="AU1026" s="68"/>
      <c r="AV1026" s="68"/>
      <c r="AW1026" s="68"/>
      <c r="AX1026" s="68"/>
      <c r="AY1026" s="68"/>
    </row>
    <row r="1027" spans="1:51" ht="13" customHeight="1">
      <c r="A1027" s="14"/>
      <c r="B1027" s="85"/>
      <c r="C1027" s="84"/>
      <c r="D1027" s="1551"/>
      <c r="E1027" s="1552"/>
      <c r="F1027" s="1552"/>
      <c r="G1027" s="1552"/>
      <c r="H1027" s="1552"/>
      <c r="I1027" s="1552"/>
      <c r="J1027" s="1552"/>
      <c r="K1027" s="1552"/>
      <c r="L1027" s="1552"/>
      <c r="M1027" s="1552"/>
      <c r="N1027" s="1552"/>
      <c r="O1027" s="1552"/>
      <c r="P1027" s="1552"/>
      <c r="Q1027" s="1552"/>
      <c r="R1027" s="1552"/>
      <c r="S1027" s="1552"/>
      <c r="T1027" s="1552"/>
      <c r="U1027" s="1552"/>
      <c r="V1027" s="1552"/>
      <c r="W1027" s="1552"/>
      <c r="X1027" s="1552"/>
      <c r="Y1027" s="1552"/>
      <c r="Z1027" s="1552"/>
      <c r="AA1027" s="1552"/>
      <c r="AB1027" s="1552"/>
      <c r="AC1027" s="1552"/>
      <c r="AD1027" s="1552"/>
      <c r="AE1027" s="1553"/>
      <c r="AF1027" s="1405"/>
      <c r="AG1027" s="1405"/>
      <c r="AH1027" s="1405"/>
      <c r="AI1027" s="1405"/>
      <c r="AJ1027" s="1378"/>
      <c r="AK1027" s="1379"/>
      <c r="AL1027" s="1379"/>
      <c r="AM1027" s="1379"/>
      <c r="AN1027" s="1379"/>
      <c r="AO1027" s="1379"/>
      <c r="AP1027" s="1379"/>
      <c r="AQ1027" s="1380"/>
      <c r="AR1027" s="68"/>
      <c r="AS1027" s="68"/>
      <c r="AT1027" s="68"/>
      <c r="AU1027" s="68"/>
      <c r="AV1027" s="68"/>
      <c r="AW1027" s="68"/>
      <c r="AX1027" s="68"/>
      <c r="AY1027" s="68"/>
    </row>
    <row r="1028" spans="1:51" ht="13" customHeight="1">
      <c r="A1028" s="14"/>
      <c r="B1028" s="79"/>
      <c r="C1028" s="80" t="s">
        <v>234</v>
      </c>
      <c r="D1028" s="1548" t="s">
        <v>1406</v>
      </c>
      <c r="E1028" s="1549"/>
      <c r="F1028" s="1549"/>
      <c r="G1028" s="1549"/>
      <c r="H1028" s="1549"/>
      <c r="I1028" s="1549"/>
      <c r="J1028" s="1549"/>
      <c r="K1028" s="1549"/>
      <c r="L1028" s="1549"/>
      <c r="M1028" s="1549"/>
      <c r="N1028" s="1549"/>
      <c r="O1028" s="1549"/>
      <c r="P1028" s="1549"/>
      <c r="Q1028" s="1549"/>
      <c r="R1028" s="1549"/>
      <c r="S1028" s="1549"/>
      <c r="T1028" s="1549"/>
      <c r="U1028" s="1549"/>
      <c r="V1028" s="1549"/>
      <c r="W1028" s="1549"/>
      <c r="X1028" s="1549"/>
      <c r="Y1028" s="1549"/>
      <c r="Z1028" s="1549"/>
      <c r="AA1028" s="1549"/>
      <c r="AB1028" s="1549"/>
      <c r="AC1028" s="1549"/>
      <c r="AD1028" s="1549"/>
      <c r="AE1028" s="1550"/>
      <c r="AF1028" s="79"/>
      <c r="AG1028" s="1367" t="s">
        <v>553</v>
      </c>
      <c r="AH1028" s="1368"/>
      <c r="AI1028" s="87"/>
      <c r="AJ1028" s="1372">
        <f>ROUND(IF(AG1028="yes",(AJ991*0.1),0),0)</f>
        <v>4944125</v>
      </c>
      <c r="AK1028" s="1373"/>
      <c r="AL1028" s="1373"/>
      <c r="AM1028" s="1373"/>
      <c r="AN1028" s="1373"/>
      <c r="AO1028" s="1373"/>
      <c r="AP1028" s="1373"/>
      <c r="AQ1028" s="1374"/>
      <c r="AR1028" s="68"/>
      <c r="AS1028" s="68"/>
      <c r="AT1028" s="68"/>
      <c r="AU1028" s="68"/>
      <c r="AV1028" s="68"/>
      <c r="AW1028" s="68"/>
      <c r="AX1028" s="68"/>
      <c r="AY1028" s="68"/>
    </row>
    <row r="1029" spans="1:51" ht="13" customHeight="1">
      <c r="A1029" s="14"/>
      <c r="B1029" s="73"/>
      <c r="C1029" s="74"/>
      <c r="D1029" s="1534" t="s">
        <v>1407</v>
      </c>
      <c r="E1029" s="1535"/>
      <c r="F1029" s="1535"/>
      <c r="G1029" s="1535"/>
      <c r="H1029" s="1535"/>
      <c r="I1029" s="1535"/>
      <c r="J1029" s="1535"/>
      <c r="K1029" s="1535"/>
      <c r="L1029" s="1535"/>
      <c r="M1029" s="1535"/>
      <c r="N1029" s="1535"/>
      <c r="O1029" s="1535"/>
      <c r="P1029" s="1535"/>
      <c r="Q1029" s="1535"/>
      <c r="R1029" s="1535"/>
      <c r="S1029" s="1535"/>
      <c r="T1029" s="1535"/>
      <c r="U1029" s="1535"/>
      <c r="V1029" s="1535"/>
      <c r="W1029" s="1535"/>
      <c r="X1029" s="1535"/>
      <c r="Y1029" s="1535"/>
      <c r="Z1029" s="1535"/>
      <c r="AA1029" s="1535"/>
      <c r="AB1029" s="1535"/>
      <c r="AC1029" s="1535"/>
      <c r="AD1029" s="1535"/>
      <c r="AE1029" s="1536"/>
      <c r="AF1029" s="73"/>
      <c r="AG1029" s="14"/>
      <c r="AH1029" s="14"/>
      <c r="AI1029" s="83"/>
      <c r="AJ1029" s="1375"/>
      <c r="AK1029" s="1376"/>
      <c r="AL1029" s="1376"/>
      <c r="AM1029" s="1376"/>
      <c r="AN1029" s="1376"/>
      <c r="AO1029" s="1376"/>
      <c r="AP1029" s="1376"/>
      <c r="AQ1029" s="1377"/>
      <c r="AR1029" s="68"/>
      <c r="AS1029" s="68"/>
      <c r="AT1029" s="68"/>
      <c r="AU1029" s="68"/>
      <c r="AV1029" s="68"/>
      <c r="AW1029" s="68"/>
      <c r="AX1029" s="68"/>
      <c r="AY1029" s="68"/>
    </row>
    <row r="1030" spans="1:51" ht="13" customHeight="1">
      <c r="A1030" s="14"/>
      <c r="B1030" s="77"/>
      <c r="C1030" s="74"/>
      <c r="D1030" s="1551"/>
      <c r="E1030" s="1552"/>
      <c r="F1030" s="1552"/>
      <c r="G1030" s="1552"/>
      <c r="H1030" s="1552"/>
      <c r="I1030" s="1552"/>
      <c r="J1030" s="1552"/>
      <c r="K1030" s="1552"/>
      <c r="L1030" s="1552"/>
      <c r="M1030" s="1552"/>
      <c r="N1030" s="1552"/>
      <c r="O1030" s="1552"/>
      <c r="P1030" s="1552"/>
      <c r="Q1030" s="1552"/>
      <c r="R1030" s="1552"/>
      <c r="S1030" s="1552"/>
      <c r="T1030" s="1552"/>
      <c r="U1030" s="1552"/>
      <c r="V1030" s="1552"/>
      <c r="W1030" s="1552"/>
      <c r="X1030" s="1552"/>
      <c r="Y1030" s="1552"/>
      <c r="Z1030" s="1552"/>
      <c r="AA1030" s="1552"/>
      <c r="AB1030" s="1552"/>
      <c r="AC1030" s="1552"/>
      <c r="AD1030" s="1552"/>
      <c r="AE1030" s="1553"/>
      <c r="AF1030" s="73"/>
      <c r="AG1030" s="14"/>
      <c r="AH1030" s="14"/>
      <c r="AI1030" s="83"/>
      <c r="AJ1030" s="1378"/>
      <c r="AK1030" s="1379"/>
      <c r="AL1030" s="1379"/>
      <c r="AM1030" s="1379"/>
      <c r="AN1030" s="1379"/>
      <c r="AO1030" s="1379"/>
      <c r="AP1030" s="1379"/>
      <c r="AQ1030" s="1380"/>
      <c r="AR1030" s="68"/>
      <c r="AS1030" s="68"/>
      <c r="AT1030" s="68"/>
      <c r="AU1030" s="68"/>
      <c r="AV1030" s="68"/>
      <c r="AW1030" s="68"/>
      <c r="AX1030" s="68"/>
      <c r="AY1030" s="68"/>
    </row>
    <row r="1031" spans="1:51" ht="13" customHeight="1">
      <c r="A1031" s="14"/>
      <c r="B1031" s="73"/>
      <c r="C1031" s="367" t="s">
        <v>696</v>
      </c>
      <c r="D1031" s="1381" t="s">
        <v>1876</v>
      </c>
      <c r="E1031" s="1382"/>
      <c r="F1031" s="1382"/>
      <c r="G1031" s="1382"/>
      <c r="H1031" s="1382"/>
      <c r="I1031" s="1382"/>
      <c r="J1031" s="1382"/>
      <c r="K1031" s="1382"/>
      <c r="L1031" s="1382"/>
      <c r="M1031" s="1382"/>
      <c r="N1031" s="1382"/>
      <c r="O1031" s="1382"/>
      <c r="P1031" s="1382"/>
      <c r="Q1031" s="1382"/>
      <c r="R1031" s="1382"/>
      <c r="S1031" s="1382"/>
      <c r="T1031" s="1382"/>
      <c r="U1031" s="1382"/>
      <c r="V1031" s="1382"/>
      <c r="W1031" s="1382"/>
      <c r="X1031" s="1382"/>
      <c r="Y1031" s="1382"/>
      <c r="Z1031" s="1382"/>
      <c r="AA1031" s="1382"/>
      <c r="AB1031" s="1382"/>
      <c r="AC1031" s="1382"/>
      <c r="AD1031" s="1382"/>
      <c r="AE1031" s="1383"/>
      <c r="AF1031" s="79"/>
      <c r="AG1031" s="1367" t="s">
        <v>553</v>
      </c>
      <c r="AH1031" s="1368"/>
      <c r="AI1031" s="87"/>
      <c r="AJ1031" s="1372">
        <f>ROUND(IF(AG1031="yes",(AJ991*0.15),0),0)</f>
        <v>7416187</v>
      </c>
      <c r="AK1031" s="1373"/>
      <c r="AL1031" s="1373"/>
      <c r="AM1031" s="1373"/>
      <c r="AN1031" s="1373"/>
      <c r="AO1031" s="1373"/>
      <c r="AP1031" s="1373"/>
      <c r="AQ1031" s="1374"/>
      <c r="AR1031" s="68"/>
      <c r="AS1031" s="68"/>
      <c r="AT1031" s="68"/>
      <c r="AU1031" s="68"/>
      <c r="AV1031" s="68"/>
      <c r="AW1031" s="68"/>
      <c r="AX1031" s="68"/>
      <c r="AY1031" s="68"/>
    </row>
    <row r="1032" spans="1:51" ht="13" customHeight="1">
      <c r="A1032" s="14"/>
      <c r="B1032" s="73"/>
      <c r="C1032" s="74"/>
      <c r="D1032" s="1384"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385"/>
      <c r="AF1032" s="950"/>
      <c r="AG1032" s="951"/>
      <c r="AH1032" s="951"/>
      <c r="AI1032" s="952"/>
      <c r="AJ1032" s="1375"/>
      <c r="AK1032" s="1376"/>
      <c r="AL1032" s="1376"/>
      <c r="AM1032" s="1376"/>
      <c r="AN1032" s="1376"/>
      <c r="AO1032" s="1376"/>
      <c r="AP1032" s="1376"/>
      <c r="AQ1032" s="1377"/>
      <c r="AR1032" s="68"/>
      <c r="AS1032" s="68"/>
      <c r="AT1032" s="68"/>
      <c r="AU1032" s="68"/>
      <c r="AV1032" s="68"/>
      <c r="AW1032" s="68"/>
      <c r="AX1032" s="68"/>
      <c r="AY1032" s="68"/>
    </row>
    <row r="1033" spans="1:51" ht="13" customHeight="1">
      <c r="A1033" s="14"/>
      <c r="B1033" s="73"/>
      <c r="C1033" s="74"/>
      <c r="D1033" s="138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385"/>
      <c r="AF1033" s="950"/>
      <c r="AG1033" s="951"/>
      <c r="AH1033" s="951"/>
      <c r="AI1033" s="952"/>
      <c r="AJ1033" s="1375"/>
      <c r="AK1033" s="1376"/>
      <c r="AL1033" s="1376"/>
      <c r="AM1033" s="1376"/>
      <c r="AN1033" s="1376"/>
      <c r="AO1033" s="1376"/>
      <c r="AP1033" s="1376"/>
      <c r="AQ1033" s="1377"/>
      <c r="AR1033" s="68"/>
      <c r="AS1033" s="68"/>
      <c r="AT1033" s="68"/>
      <c r="AU1033" s="68"/>
      <c r="AV1033" s="68"/>
      <c r="AW1033" s="68"/>
      <c r="AX1033" s="68"/>
      <c r="AY1033" s="68"/>
    </row>
    <row r="1034" spans="1:51" ht="13" customHeight="1">
      <c r="A1034" s="14"/>
      <c r="B1034" s="73"/>
      <c r="C1034" s="74"/>
      <c r="D1034" s="1386"/>
      <c r="E1034" s="1387"/>
      <c r="F1034" s="1387"/>
      <c r="G1034" s="1387"/>
      <c r="H1034" s="1387"/>
      <c r="I1034" s="1387"/>
      <c r="J1034" s="1387"/>
      <c r="K1034" s="1387"/>
      <c r="L1034" s="1387"/>
      <c r="M1034" s="1387"/>
      <c r="N1034" s="1387"/>
      <c r="O1034" s="1387"/>
      <c r="P1034" s="1387"/>
      <c r="Q1034" s="1387"/>
      <c r="R1034" s="1387"/>
      <c r="S1034" s="1387"/>
      <c r="T1034" s="1387"/>
      <c r="U1034" s="1387"/>
      <c r="V1034" s="1387"/>
      <c r="W1034" s="1387"/>
      <c r="X1034" s="1387"/>
      <c r="Y1034" s="1387"/>
      <c r="Z1034" s="1387"/>
      <c r="AA1034" s="1387"/>
      <c r="AB1034" s="1387"/>
      <c r="AC1034" s="1387"/>
      <c r="AD1034" s="1387"/>
      <c r="AE1034" s="1388"/>
      <c r="AF1034" s="953"/>
      <c r="AG1034" s="954"/>
      <c r="AH1034" s="954"/>
      <c r="AI1034" s="955"/>
      <c r="AJ1034" s="1378"/>
      <c r="AK1034" s="1379"/>
      <c r="AL1034" s="1379"/>
      <c r="AM1034" s="1379"/>
      <c r="AN1034" s="1379"/>
      <c r="AO1034" s="1379"/>
      <c r="AP1034" s="1379"/>
      <c r="AQ1034" s="1380"/>
      <c r="AR1034" s="68"/>
      <c r="AS1034" s="68"/>
      <c r="AT1034" s="68"/>
      <c r="AU1034" s="68"/>
      <c r="AV1034" s="68"/>
      <c r="AW1034" s="68"/>
      <c r="AX1034" s="68"/>
      <c r="AY1034" s="68"/>
    </row>
    <row r="1035" spans="1:51" ht="13" customHeight="1">
      <c r="A1035" s="14"/>
      <c r="B1035" s="73"/>
      <c r="C1035" s="367" t="s">
        <v>696</v>
      </c>
      <c r="D1035" s="1548" t="s">
        <v>1878</v>
      </c>
      <c r="E1035" s="1549"/>
      <c r="F1035" s="1549"/>
      <c r="G1035" s="1549"/>
      <c r="H1035" s="1549"/>
      <c r="I1035" s="1549"/>
      <c r="J1035" s="1549"/>
      <c r="K1035" s="1549"/>
      <c r="L1035" s="1549"/>
      <c r="M1035" s="1549"/>
      <c r="N1035" s="1549"/>
      <c r="O1035" s="1549"/>
      <c r="P1035" s="1549"/>
      <c r="Q1035" s="1549"/>
      <c r="R1035" s="1549"/>
      <c r="S1035" s="1549"/>
      <c r="T1035" s="1549"/>
      <c r="U1035" s="1549"/>
      <c r="V1035" s="1549"/>
      <c r="W1035" s="1549"/>
      <c r="X1035" s="1549"/>
      <c r="Y1035" s="1549"/>
      <c r="Z1035" s="1549"/>
      <c r="AA1035" s="1549"/>
      <c r="AB1035" s="1549"/>
      <c r="AC1035" s="1549"/>
      <c r="AD1035" s="1549"/>
      <c r="AE1035" s="1550"/>
      <c r="AF1035" s="73"/>
      <c r="AG1035" s="1604" t="s">
        <v>677</v>
      </c>
      <c r="AH1035" s="1605"/>
      <c r="AI1035" s="83"/>
      <c r="AJ1035" s="1372">
        <f>ROUND(IF(AND(AG1035="yes",AJ1031=0),(AJ991*0.1),0),0)</f>
        <v>0</v>
      </c>
      <c r="AK1035" s="1373"/>
      <c r="AL1035" s="1373"/>
      <c r="AM1035" s="1373"/>
      <c r="AN1035" s="1373"/>
      <c r="AO1035" s="1373"/>
      <c r="AP1035" s="1373"/>
      <c r="AQ1035" s="1374"/>
      <c r="AR1035" s="68"/>
      <c r="AS1035" s="68"/>
      <c r="AT1035" s="68"/>
      <c r="AU1035" s="68"/>
      <c r="AV1035" s="68"/>
      <c r="AW1035" s="68"/>
      <c r="AX1035" s="68"/>
      <c r="AY1035" s="68"/>
    </row>
    <row r="1036" spans="1:51" ht="13" customHeight="1">
      <c r="A1036" s="14"/>
      <c r="B1036" s="73"/>
      <c r="C1036" s="74"/>
      <c r="D1036" s="1384"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385"/>
      <c r="AF1036" s="73"/>
      <c r="AG1036" s="14"/>
      <c r="AH1036" s="14"/>
      <c r="AI1036" s="83"/>
      <c r="AJ1036" s="1375"/>
      <c r="AK1036" s="1376"/>
      <c r="AL1036" s="1376"/>
      <c r="AM1036" s="1376"/>
      <c r="AN1036" s="1376"/>
      <c r="AO1036" s="1376"/>
      <c r="AP1036" s="1376"/>
      <c r="AQ1036" s="1377"/>
      <c r="AR1036" s="68"/>
      <c r="AS1036" s="68"/>
      <c r="AT1036" s="68"/>
      <c r="AU1036" s="68"/>
      <c r="AV1036" s="68"/>
      <c r="AW1036" s="68"/>
      <c r="AX1036" s="68"/>
      <c r="AY1036" s="68"/>
    </row>
    <row r="1037" spans="1:51" ht="13" customHeight="1">
      <c r="A1037" s="14"/>
      <c r="B1037" s="73"/>
      <c r="C1037" s="74"/>
      <c r="D1037" s="138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385"/>
      <c r="AF1037" s="73"/>
      <c r="AG1037" s="14"/>
      <c r="AH1037" s="14"/>
      <c r="AI1037" s="83"/>
      <c r="AJ1037" s="1375"/>
      <c r="AK1037" s="1376"/>
      <c r="AL1037" s="1376"/>
      <c r="AM1037" s="1376"/>
      <c r="AN1037" s="1376"/>
      <c r="AO1037" s="1376"/>
      <c r="AP1037" s="1376"/>
      <c r="AQ1037" s="1377"/>
      <c r="AR1037" s="68"/>
      <c r="AS1037" s="68"/>
      <c r="AT1037" s="68"/>
      <c r="AU1037" s="68"/>
      <c r="AV1037" s="68"/>
      <c r="AW1037" s="68"/>
      <c r="AX1037" s="68"/>
      <c r="AY1037" s="68"/>
    </row>
    <row r="1038" spans="1:51" ht="13" customHeight="1">
      <c r="A1038" s="14"/>
      <c r="B1038" s="73"/>
      <c r="C1038" s="74"/>
      <c r="D1038" s="138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385"/>
      <c r="AF1038" s="73"/>
      <c r="AG1038" s="14"/>
      <c r="AH1038" s="14"/>
      <c r="AI1038" s="83"/>
      <c r="AJ1038" s="1375"/>
      <c r="AK1038" s="1376"/>
      <c r="AL1038" s="1376"/>
      <c r="AM1038" s="1376"/>
      <c r="AN1038" s="1376"/>
      <c r="AO1038" s="1376"/>
      <c r="AP1038" s="1376"/>
      <c r="AQ1038" s="1377"/>
      <c r="AR1038" s="68"/>
      <c r="AS1038" s="68"/>
      <c r="AT1038" s="68"/>
      <c r="AU1038" s="68"/>
      <c r="AV1038" s="68"/>
      <c r="AW1038" s="68"/>
      <c r="AX1038" s="68"/>
      <c r="AY1038" s="68"/>
    </row>
    <row r="1039" spans="1:51" ht="13" customHeight="1">
      <c r="A1039" s="14"/>
      <c r="B1039" s="73"/>
      <c r="C1039" s="74"/>
      <c r="D1039" s="1386"/>
      <c r="E1039" s="1387"/>
      <c r="F1039" s="1387"/>
      <c r="G1039" s="1387"/>
      <c r="H1039" s="1387"/>
      <c r="I1039" s="1387"/>
      <c r="J1039" s="1387"/>
      <c r="K1039" s="1387"/>
      <c r="L1039" s="1387"/>
      <c r="M1039" s="1387"/>
      <c r="N1039" s="1387"/>
      <c r="O1039" s="1387"/>
      <c r="P1039" s="1387"/>
      <c r="Q1039" s="1387"/>
      <c r="R1039" s="1387"/>
      <c r="S1039" s="1387"/>
      <c r="T1039" s="1387"/>
      <c r="U1039" s="1387"/>
      <c r="V1039" s="1387"/>
      <c r="W1039" s="1387"/>
      <c r="X1039" s="1387"/>
      <c r="Y1039" s="1387"/>
      <c r="Z1039" s="1387"/>
      <c r="AA1039" s="1387"/>
      <c r="AB1039" s="1387"/>
      <c r="AC1039" s="1387"/>
      <c r="AD1039" s="1387"/>
      <c r="AE1039" s="1388"/>
      <c r="AF1039" s="73"/>
      <c r="AG1039" s="14"/>
      <c r="AH1039" s="14"/>
      <c r="AI1039" s="83"/>
      <c r="AJ1039" s="1375"/>
      <c r="AK1039" s="1376"/>
      <c r="AL1039" s="1376"/>
      <c r="AM1039" s="1376"/>
      <c r="AN1039" s="1376"/>
      <c r="AO1039" s="1376"/>
      <c r="AP1039" s="1376"/>
      <c r="AQ1039" s="1377"/>
      <c r="AR1039" s="68"/>
      <c r="AS1039" s="68"/>
      <c r="AT1039" s="68"/>
      <c r="AU1039" s="68"/>
      <c r="AV1039" s="68"/>
      <c r="AW1039" s="68"/>
      <c r="AX1039" s="68"/>
      <c r="AY1039" s="68"/>
    </row>
    <row r="1040" spans="1:51" ht="13" customHeight="1">
      <c r="A1040" s="14"/>
      <c r="B1040" s="79"/>
      <c r="C1040" s="131" t="s">
        <v>1034</v>
      </c>
      <c r="D1040" s="1381" t="s">
        <v>1408</v>
      </c>
      <c r="E1040" s="1382"/>
      <c r="F1040" s="1382"/>
      <c r="G1040" s="1382"/>
      <c r="H1040" s="1382"/>
      <c r="I1040" s="1382"/>
      <c r="J1040" s="1382"/>
      <c r="K1040" s="1382"/>
      <c r="L1040" s="1382"/>
      <c r="M1040" s="1382"/>
      <c r="N1040" s="1382"/>
      <c r="O1040" s="1382"/>
      <c r="P1040" s="1382"/>
      <c r="Q1040" s="1382"/>
      <c r="R1040" s="1382"/>
      <c r="S1040" s="1382"/>
      <c r="T1040" s="1382"/>
      <c r="U1040" s="1382"/>
      <c r="V1040" s="1382"/>
      <c r="W1040" s="1382"/>
      <c r="X1040" s="1382"/>
      <c r="Y1040" s="1382"/>
      <c r="Z1040" s="1382"/>
      <c r="AA1040" s="1382"/>
      <c r="AB1040" s="1382"/>
      <c r="AC1040" s="1382"/>
      <c r="AD1040" s="1382"/>
      <c r="AE1040" s="1383"/>
      <c r="AF1040" s="79"/>
      <c r="AG1040" s="1367" t="s">
        <v>677</v>
      </c>
      <c r="AH1040" s="1368"/>
      <c r="AI1040" s="87"/>
      <c r="AJ1040" s="1372">
        <f>ROUND(IF(AG1040="yes",(AJ991*0.1),0),0)</f>
        <v>0</v>
      </c>
      <c r="AK1040" s="1373"/>
      <c r="AL1040" s="1373"/>
      <c r="AM1040" s="1373"/>
      <c r="AN1040" s="1373"/>
      <c r="AO1040" s="1373"/>
      <c r="AP1040" s="1373"/>
      <c r="AQ1040" s="1374"/>
      <c r="AR1040" s="68"/>
      <c r="AS1040" s="68"/>
      <c r="AT1040" s="68"/>
      <c r="AU1040" s="68"/>
      <c r="AV1040" s="68"/>
      <c r="AW1040" s="68"/>
      <c r="AX1040" s="68"/>
      <c r="AY1040" s="68"/>
    </row>
    <row r="1041" spans="1:51" ht="13" customHeight="1">
      <c r="A1041" s="14"/>
      <c r="B1041" s="73"/>
      <c r="C1041" s="74"/>
      <c r="D1041" s="1534" t="s">
        <v>2504</v>
      </c>
      <c r="E1041" s="1535"/>
      <c r="F1041" s="1535"/>
      <c r="G1041" s="1535"/>
      <c r="H1041" s="1535"/>
      <c r="I1041" s="1535"/>
      <c r="J1041" s="1535"/>
      <c r="K1041" s="1535"/>
      <c r="L1041" s="1535"/>
      <c r="M1041" s="1535"/>
      <c r="N1041" s="1535"/>
      <c r="O1041" s="1535"/>
      <c r="P1041" s="1535"/>
      <c r="Q1041" s="1535"/>
      <c r="R1041" s="1535"/>
      <c r="S1041" s="1535"/>
      <c r="T1041" s="1535"/>
      <c r="U1041" s="1535"/>
      <c r="V1041" s="1535"/>
      <c r="W1041" s="1535"/>
      <c r="X1041" s="1535"/>
      <c r="Y1041" s="1535"/>
      <c r="Z1041" s="1535"/>
      <c r="AA1041" s="1535"/>
      <c r="AB1041" s="1535"/>
      <c r="AC1041" s="1535"/>
      <c r="AD1041" s="1535"/>
      <c r="AE1041" s="1536"/>
      <c r="AF1041" s="73"/>
      <c r="AG1041" s="14"/>
      <c r="AH1041" s="14"/>
      <c r="AI1041" s="83"/>
      <c r="AJ1041" s="1375"/>
      <c r="AK1041" s="1376"/>
      <c r="AL1041" s="1376"/>
      <c r="AM1041" s="1376"/>
      <c r="AN1041" s="1376"/>
      <c r="AO1041" s="1376"/>
      <c r="AP1041" s="1376"/>
      <c r="AQ1041" s="1377"/>
      <c r="AR1041" s="68"/>
      <c r="AS1041" s="68"/>
      <c r="AT1041" s="68"/>
      <c r="AU1041" s="68"/>
      <c r="AV1041" s="68"/>
      <c r="AW1041" s="68"/>
      <c r="AX1041" s="68"/>
      <c r="AY1041" s="68"/>
    </row>
    <row r="1042" spans="1:51" ht="13" customHeight="1">
      <c r="A1042" s="14"/>
      <c r="B1042" s="73"/>
      <c r="C1042" s="74"/>
      <c r="D1042" s="1534"/>
      <c r="E1042" s="1535"/>
      <c r="F1042" s="1535"/>
      <c r="G1042" s="1535"/>
      <c r="H1042" s="1535"/>
      <c r="I1042" s="1535"/>
      <c r="J1042" s="1535"/>
      <c r="K1042" s="1535"/>
      <c r="L1042" s="1535"/>
      <c r="M1042" s="1535"/>
      <c r="N1042" s="1535"/>
      <c r="O1042" s="1535"/>
      <c r="P1042" s="1535"/>
      <c r="Q1042" s="1535"/>
      <c r="R1042" s="1535"/>
      <c r="S1042" s="1535"/>
      <c r="T1042" s="1535"/>
      <c r="U1042" s="1535"/>
      <c r="V1042" s="1535"/>
      <c r="W1042" s="1535"/>
      <c r="X1042" s="1535"/>
      <c r="Y1042" s="1535"/>
      <c r="Z1042" s="1535"/>
      <c r="AA1042" s="1535"/>
      <c r="AB1042" s="1535"/>
      <c r="AC1042" s="1535"/>
      <c r="AD1042" s="1535"/>
      <c r="AE1042" s="1536"/>
      <c r="AF1042" s="73"/>
      <c r="AG1042" s="14"/>
      <c r="AH1042" s="14"/>
      <c r="AI1042" s="83"/>
      <c r="AJ1042" s="1375"/>
      <c r="AK1042" s="1376"/>
      <c r="AL1042" s="1376"/>
      <c r="AM1042" s="1376"/>
      <c r="AN1042" s="1376"/>
      <c r="AO1042" s="1376"/>
      <c r="AP1042" s="1376"/>
      <c r="AQ1042" s="1377"/>
      <c r="AR1042" s="68"/>
      <c r="AS1042" s="68"/>
      <c r="AT1042" s="68"/>
      <c r="AU1042" s="68"/>
      <c r="AV1042" s="68"/>
      <c r="AW1042" s="68"/>
      <c r="AX1042" s="68"/>
      <c r="AY1042" s="68"/>
    </row>
    <row r="1043" spans="1:51" ht="13" customHeight="1">
      <c r="A1043" s="14"/>
      <c r="B1043" s="73"/>
      <c r="C1043" s="74"/>
      <c r="D1043" s="1551"/>
      <c r="E1043" s="1552"/>
      <c r="F1043" s="1552"/>
      <c r="G1043" s="1552"/>
      <c r="H1043" s="1552"/>
      <c r="I1043" s="1552"/>
      <c r="J1043" s="1552"/>
      <c r="K1043" s="1552"/>
      <c r="L1043" s="1552"/>
      <c r="M1043" s="1552"/>
      <c r="N1043" s="1552"/>
      <c r="O1043" s="1552"/>
      <c r="P1043" s="1552"/>
      <c r="Q1043" s="1552"/>
      <c r="R1043" s="1552"/>
      <c r="S1043" s="1552"/>
      <c r="T1043" s="1552"/>
      <c r="U1043" s="1552"/>
      <c r="V1043" s="1552"/>
      <c r="W1043" s="1552"/>
      <c r="X1043" s="1552"/>
      <c r="Y1043" s="1552"/>
      <c r="Z1043" s="1552"/>
      <c r="AA1043" s="1552"/>
      <c r="AB1043" s="1552"/>
      <c r="AC1043" s="1552"/>
      <c r="AD1043" s="1552"/>
      <c r="AE1043" s="1553"/>
      <c r="AF1043" s="73"/>
      <c r="AG1043" s="14"/>
      <c r="AH1043" s="14"/>
      <c r="AI1043" s="83"/>
      <c r="AJ1043" s="1378"/>
      <c r="AK1043" s="1379"/>
      <c r="AL1043" s="1379"/>
      <c r="AM1043" s="1379"/>
      <c r="AN1043" s="1379"/>
      <c r="AO1043" s="1379"/>
      <c r="AP1043" s="1379"/>
      <c r="AQ1043" s="1380"/>
      <c r="AR1043" s="68"/>
      <c r="AS1043" s="68"/>
      <c r="AT1043" s="68"/>
      <c r="AU1043" s="68"/>
      <c r="AV1043" s="68"/>
      <c r="AW1043" s="68"/>
      <c r="AX1043" s="68"/>
      <c r="AY1043" s="68"/>
    </row>
    <row r="1044" spans="1:51" ht="13" customHeight="1">
      <c r="A1044" s="14"/>
      <c r="B1044" s="79"/>
      <c r="C1044" s="131" t="s">
        <v>1874</v>
      </c>
      <c r="D1044" s="1548" t="s">
        <v>2056</v>
      </c>
      <c r="E1044" s="1549"/>
      <c r="F1044" s="1549"/>
      <c r="G1044" s="1549"/>
      <c r="H1044" s="1549"/>
      <c r="I1044" s="1549"/>
      <c r="J1044" s="1549"/>
      <c r="K1044" s="1549"/>
      <c r="L1044" s="1549"/>
      <c r="M1044" s="1549"/>
      <c r="N1044" s="1549"/>
      <c r="O1044" s="1549"/>
      <c r="P1044" s="1549"/>
      <c r="Q1044" s="1549"/>
      <c r="R1044" s="1549"/>
      <c r="S1044" s="1549"/>
      <c r="T1044" s="1549"/>
      <c r="U1044" s="1549"/>
      <c r="V1044" s="1549"/>
      <c r="W1044" s="1549"/>
      <c r="X1044" s="1549"/>
      <c r="Y1044" s="1549"/>
      <c r="Z1044" s="1549"/>
      <c r="AA1044" s="1549"/>
      <c r="AB1044" s="1549"/>
      <c r="AC1044" s="1549"/>
      <c r="AD1044" s="1549"/>
      <c r="AE1044" s="1550"/>
      <c r="AF1044" s="79"/>
      <c r="AG1044" s="1584" t="str">
        <f>IF(X1047&gt;0,"Yes","No")</f>
        <v>Yes</v>
      </c>
      <c r="AH1044" s="1585"/>
      <c r="AI1044" s="87"/>
      <c r="AJ1044" s="1372">
        <f>IF((X1047=0),0,AY1004*AJ991)</f>
        <v>8899424.8200000003</v>
      </c>
      <c r="AK1044" s="1373"/>
      <c r="AL1044" s="1373"/>
      <c r="AM1044" s="1373"/>
      <c r="AN1044" s="1373"/>
      <c r="AO1044" s="1373"/>
      <c r="AP1044" s="1373"/>
      <c r="AQ1044" s="1374"/>
      <c r="AR1044" s="68"/>
      <c r="AS1044" s="68"/>
      <c r="AT1044" s="68"/>
      <c r="AU1044" s="68"/>
      <c r="AV1044" s="68"/>
      <c r="AW1044" s="68"/>
      <c r="AX1044" s="68"/>
      <c r="AY1044" s="68"/>
    </row>
    <row r="1045" spans="1:51" ht="13" customHeight="1">
      <c r="A1045" s="14"/>
      <c r="B1045" s="73"/>
      <c r="C1045" s="476"/>
      <c r="D1045" s="1534" t="s">
        <v>1410</v>
      </c>
      <c r="E1045" s="1535"/>
      <c r="F1045" s="1535"/>
      <c r="G1045" s="1535"/>
      <c r="H1045" s="1535"/>
      <c r="I1045" s="1535"/>
      <c r="J1045" s="1535"/>
      <c r="K1045" s="1535"/>
      <c r="L1045" s="1535"/>
      <c r="M1045" s="1535"/>
      <c r="N1045" s="1535"/>
      <c r="O1045" s="1535"/>
      <c r="P1045" s="1535"/>
      <c r="Q1045" s="1535"/>
      <c r="R1045" s="1535"/>
      <c r="S1045" s="1535"/>
      <c r="T1045" s="1535"/>
      <c r="U1045" s="1535"/>
      <c r="V1045" s="1535"/>
      <c r="W1045" s="1535"/>
      <c r="X1045" s="1535"/>
      <c r="Y1045" s="1535"/>
      <c r="Z1045" s="1535"/>
      <c r="AA1045" s="1535"/>
      <c r="AB1045" s="1535"/>
      <c r="AC1045" s="1535"/>
      <c r="AD1045" s="1535"/>
      <c r="AE1045" s="1536"/>
      <c r="AF1045" s="73"/>
      <c r="AG1045" s="477"/>
      <c r="AH1045" s="477"/>
      <c r="AI1045" s="83"/>
      <c r="AJ1045" s="1375"/>
      <c r="AK1045" s="1376"/>
      <c r="AL1045" s="1376"/>
      <c r="AM1045" s="1376"/>
      <c r="AN1045" s="1376"/>
      <c r="AO1045" s="1376"/>
      <c r="AP1045" s="1376"/>
      <c r="AQ1045" s="1377"/>
      <c r="AR1045" s="68"/>
      <c r="AS1045" s="68"/>
      <c r="AT1045" s="68"/>
      <c r="AU1045" s="13"/>
      <c r="AV1045" s="68"/>
      <c r="AW1045" s="68"/>
      <c r="AX1045" s="68"/>
      <c r="AY1045" s="68"/>
    </row>
    <row r="1046" spans="1:51" ht="13" customHeight="1">
      <c r="A1046" s="14"/>
      <c r="B1046" s="73"/>
      <c r="C1046" s="476"/>
      <c r="D1046" s="1534"/>
      <c r="E1046" s="1535"/>
      <c r="F1046" s="1535"/>
      <c r="G1046" s="1535"/>
      <c r="H1046" s="1535"/>
      <c r="I1046" s="1535"/>
      <c r="J1046" s="1535"/>
      <c r="K1046" s="1535"/>
      <c r="L1046" s="1535"/>
      <c r="M1046" s="1535"/>
      <c r="N1046" s="1535"/>
      <c r="O1046" s="1535"/>
      <c r="P1046" s="1535"/>
      <c r="Q1046" s="1535"/>
      <c r="R1046" s="1535"/>
      <c r="S1046" s="1535"/>
      <c r="T1046" s="1535"/>
      <c r="U1046" s="1535"/>
      <c r="V1046" s="1535"/>
      <c r="W1046" s="1535"/>
      <c r="X1046" s="1535"/>
      <c r="Y1046" s="1535"/>
      <c r="Z1046" s="1535"/>
      <c r="AA1046" s="1535"/>
      <c r="AB1046" s="1535"/>
      <c r="AC1046" s="1535"/>
      <c r="AD1046" s="1535"/>
      <c r="AE1046" s="1536"/>
      <c r="AF1046" s="73"/>
      <c r="AG1046" s="477"/>
      <c r="AH1046" s="477"/>
      <c r="AI1046" s="83"/>
      <c r="AJ1046" s="1375"/>
      <c r="AK1046" s="1376"/>
      <c r="AL1046" s="1376"/>
      <c r="AM1046" s="1376"/>
      <c r="AN1046" s="1376"/>
      <c r="AO1046" s="1376"/>
      <c r="AP1046" s="1376"/>
      <c r="AQ1046" s="1377"/>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02">
        <f>AY1002</f>
        <v>81</v>
      </c>
      <c r="J1047" s="1603"/>
      <c r="K1047" s="7"/>
      <c r="L1047" s="133"/>
      <c r="M1047" s="133"/>
      <c r="N1047" s="133"/>
      <c r="O1047" s="133"/>
      <c r="P1047" s="133"/>
      <c r="Q1047" s="133"/>
      <c r="R1047" s="133"/>
      <c r="S1047" s="133"/>
      <c r="T1047" s="133"/>
      <c r="U1047" s="133"/>
      <c r="V1047" s="134" t="s">
        <v>992</v>
      </c>
      <c r="W1047" s="48"/>
      <c r="X1047" s="1600">
        <f>BG632</f>
        <v>15</v>
      </c>
      <c r="Y1047" s="1601"/>
      <c r="Z1047" s="48"/>
      <c r="AA1047" s="48"/>
      <c r="AB1047" s="48"/>
      <c r="AC1047" s="48"/>
      <c r="AD1047" s="48"/>
      <c r="AE1047" s="49"/>
      <c r="AF1047" s="959"/>
      <c r="AG1047" s="960"/>
      <c r="AH1047" s="960"/>
      <c r="AI1047" s="961"/>
      <c r="AJ1047" s="1378"/>
      <c r="AK1047" s="1379"/>
      <c r="AL1047" s="1379"/>
      <c r="AM1047" s="1379"/>
      <c r="AN1047" s="1379"/>
      <c r="AO1047" s="1379"/>
      <c r="AP1047" s="1379"/>
      <c r="AQ1047" s="1380"/>
      <c r="AR1047" s="68"/>
      <c r="AS1047" s="68"/>
      <c r="AT1047" s="68"/>
      <c r="AU1047" s="14"/>
      <c r="AV1047" s="68"/>
      <c r="AW1047" s="68"/>
      <c r="AX1047" s="68"/>
      <c r="AY1047" s="68"/>
    </row>
    <row r="1048" spans="1:51" ht="13" customHeight="1">
      <c r="A1048" s="14"/>
      <c r="B1048" s="79"/>
      <c r="C1048" s="131" t="s">
        <v>1875</v>
      </c>
      <c r="D1048" s="1381" t="s">
        <v>2535</v>
      </c>
      <c r="E1048" s="1382"/>
      <c r="F1048" s="1382"/>
      <c r="G1048" s="1382"/>
      <c r="H1048" s="1382"/>
      <c r="I1048" s="1382"/>
      <c r="J1048" s="1382"/>
      <c r="K1048" s="1382"/>
      <c r="L1048" s="1382"/>
      <c r="M1048" s="1382"/>
      <c r="N1048" s="1382"/>
      <c r="O1048" s="1382"/>
      <c r="P1048" s="1382"/>
      <c r="Q1048" s="1382"/>
      <c r="R1048" s="1382"/>
      <c r="S1048" s="1382"/>
      <c r="T1048" s="1382"/>
      <c r="U1048" s="1382"/>
      <c r="V1048" s="1382"/>
      <c r="W1048" s="1382"/>
      <c r="X1048" s="1382"/>
      <c r="Y1048" s="1382"/>
      <c r="Z1048" s="1382"/>
      <c r="AA1048" s="1382"/>
      <c r="AB1048" s="1382"/>
      <c r="AC1048" s="1382"/>
      <c r="AD1048" s="1382"/>
      <c r="AE1048" s="1383"/>
      <c r="AF1048" s="73"/>
      <c r="AG1048" s="1584" t="str">
        <f>IF(X1051&gt;0,"Yes","No")</f>
        <v>Yes</v>
      </c>
      <c r="AH1048" s="1585"/>
      <c r="AI1048" s="83"/>
      <c r="AJ1048" s="1372">
        <f>IF((X1051=0),0,(2*AY1005)*AJ991)</f>
        <v>12854724.74</v>
      </c>
      <c r="AK1048" s="1373"/>
      <c r="AL1048" s="1373"/>
      <c r="AM1048" s="1373"/>
      <c r="AN1048" s="1373"/>
      <c r="AO1048" s="1373"/>
      <c r="AP1048" s="1373"/>
      <c r="AQ1048" s="1374"/>
      <c r="AR1048" s="68"/>
      <c r="AS1048" s="68"/>
      <c r="AT1048" s="68"/>
      <c r="AU1048" s="14"/>
      <c r="AV1048" s="68"/>
      <c r="AW1048" s="68"/>
      <c r="AX1048" s="68"/>
      <c r="AY1048" s="68"/>
    </row>
    <row r="1049" spans="1:51" ht="13" customHeight="1">
      <c r="A1049" s="14"/>
      <c r="B1049" s="73"/>
      <c r="C1049" s="476"/>
      <c r="D1049" s="1534" t="s">
        <v>1409</v>
      </c>
      <c r="E1049" s="1535"/>
      <c r="F1049" s="1535"/>
      <c r="G1049" s="1535"/>
      <c r="H1049" s="1535"/>
      <c r="I1049" s="1535"/>
      <c r="J1049" s="1535"/>
      <c r="K1049" s="1535"/>
      <c r="L1049" s="1535"/>
      <c r="M1049" s="1535"/>
      <c r="N1049" s="1535"/>
      <c r="O1049" s="1535"/>
      <c r="P1049" s="1535"/>
      <c r="Q1049" s="1535"/>
      <c r="R1049" s="1535"/>
      <c r="S1049" s="1535"/>
      <c r="T1049" s="1535"/>
      <c r="U1049" s="1535"/>
      <c r="V1049" s="1535"/>
      <c r="W1049" s="1535"/>
      <c r="X1049" s="1535"/>
      <c r="Y1049" s="1535"/>
      <c r="Z1049" s="1535"/>
      <c r="AA1049" s="1535"/>
      <c r="AB1049" s="1535"/>
      <c r="AC1049" s="1535"/>
      <c r="AD1049" s="1535"/>
      <c r="AE1049" s="1536"/>
      <c r="AF1049" s="73"/>
      <c r="AG1049" s="477"/>
      <c r="AH1049" s="477"/>
      <c r="AI1049" s="83"/>
      <c r="AJ1049" s="1375"/>
      <c r="AK1049" s="1376"/>
      <c r="AL1049" s="1376"/>
      <c r="AM1049" s="1376"/>
      <c r="AN1049" s="1376"/>
      <c r="AO1049" s="1376"/>
      <c r="AP1049" s="1376"/>
      <c r="AQ1049" s="1377"/>
      <c r="AR1049" s="68"/>
      <c r="AS1049" s="68"/>
      <c r="AT1049" s="68"/>
      <c r="AU1049" s="68"/>
      <c r="AV1049" s="68"/>
      <c r="AW1049" s="68"/>
      <c r="AX1049" s="68"/>
      <c r="AY1049" s="68"/>
    </row>
    <row r="1050" spans="1:51" ht="13" customHeight="1">
      <c r="A1050" s="14"/>
      <c r="B1050" s="73"/>
      <c r="C1050" s="83"/>
      <c r="D1050" s="1534"/>
      <c r="E1050" s="1535"/>
      <c r="F1050" s="1535"/>
      <c r="G1050" s="1535"/>
      <c r="H1050" s="1535"/>
      <c r="I1050" s="1535"/>
      <c r="J1050" s="1535"/>
      <c r="K1050" s="1535"/>
      <c r="L1050" s="1535"/>
      <c r="M1050" s="1535"/>
      <c r="N1050" s="1535"/>
      <c r="O1050" s="1535"/>
      <c r="P1050" s="1535"/>
      <c r="Q1050" s="1535"/>
      <c r="R1050" s="1535"/>
      <c r="S1050" s="1535"/>
      <c r="T1050" s="1535"/>
      <c r="U1050" s="1535"/>
      <c r="V1050" s="1535"/>
      <c r="W1050" s="1535"/>
      <c r="X1050" s="1535"/>
      <c r="Y1050" s="1535"/>
      <c r="Z1050" s="1535"/>
      <c r="AA1050" s="1535"/>
      <c r="AB1050" s="1535"/>
      <c r="AC1050" s="1535"/>
      <c r="AD1050" s="1535"/>
      <c r="AE1050" s="1536"/>
      <c r="AF1050" s="956"/>
      <c r="AG1050" s="957"/>
      <c r="AH1050" s="957"/>
      <c r="AI1050" s="958"/>
      <c r="AJ1050" s="1375"/>
      <c r="AK1050" s="1376"/>
      <c r="AL1050" s="1376"/>
      <c r="AM1050" s="1376"/>
      <c r="AN1050" s="1376"/>
      <c r="AO1050" s="1376"/>
      <c r="AP1050" s="1376"/>
      <c r="AQ1050" s="1377"/>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02">
        <f>AY1002</f>
        <v>81</v>
      </c>
      <c r="J1051" s="1603"/>
      <c r="K1051" s="14"/>
      <c r="L1051" s="133"/>
      <c r="M1051" s="133"/>
      <c r="N1051" s="133"/>
      <c r="O1051" s="133"/>
      <c r="P1051" s="133"/>
      <c r="Q1051" s="133"/>
      <c r="R1051" s="133"/>
      <c r="S1051" s="133"/>
      <c r="T1051" s="133"/>
      <c r="U1051" s="133"/>
      <c r="V1051" s="134" t="s">
        <v>993</v>
      </c>
      <c r="X1051" s="1600">
        <f>BK632</f>
        <v>11</v>
      </c>
      <c r="Y1051" s="1601"/>
      <c r="AF1051" s="959"/>
      <c r="AG1051" s="960"/>
      <c r="AH1051" s="960"/>
      <c r="AI1051" s="961"/>
      <c r="AJ1051" s="1378"/>
      <c r="AK1051" s="1379"/>
      <c r="AL1051" s="1379"/>
      <c r="AM1051" s="1379"/>
      <c r="AN1051" s="1379"/>
      <c r="AO1051" s="1379"/>
      <c r="AP1051" s="1379"/>
      <c r="AQ1051" s="1380"/>
      <c r="AR1051" s="68"/>
      <c r="AS1051" s="68"/>
      <c r="AT1051" s="68"/>
      <c r="AU1051" s="68"/>
      <c r="AV1051" s="68"/>
      <c r="AW1051" s="68"/>
      <c r="AX1051" s="68"/>
      <c r="AY1051" s="68"/>
    </row>
    <row r="1052" spans="1:51" ht="13" customHeight="1">
      <c r="A1052" s="14"/>
      <c r="B1052" s="102"/>
      <c r="C1052" s="103"/>
      <c r="D1052" s="1598" t="s">
        <v>521</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581">
        <f>SUM(AJ991:AQ1051)</f>
        <v>83555710.559999987</v>
      </c>
      <c r="AK1052" s="1582"/>
      <c r="AL1052" s="1582"/>
      <c r="AM1052" s="1582"/>
      <c r="AN1052" s="1582"/>
      <c r="AO1052" s="1582"/>
      <c r="AP1052" s="1582"/>
      <c r="AQ1052" s="1583"/>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18">
        <f>IF(ISNA(IF((AJ1019&gt;(AJ991*0.15)),"(f) cannot be greater than 15% of unadjusted eligible basis.",0)),"",(IF((AJ1019&gt;(AJ991*0.15)),"(f) cannot be greater than 15% of unadjusted eligible basis.",0)))</f>
        <v>0</v>
      </c>
      <c r="C1059" s="1418"/>
      <c r="D1059" s="1418"/>
      <c r="E1059" s="1418"/>
      <c r="F1059" s="1418"/>
      <c r="G1059" s="1418"/>
      <c r="H1059" s="1418"/>
      <c r="I1059" s="1418"/>
      <c r="J1059" s="1418"/>
      <c r="K1059" s="1418"/>
      <c r="L1059" s="1418"/>
      <c r="M1059" s="1418"/>
      <c r="N1059" s="1418"/>
      <c r="O1059" s="1418"/>
      <c r="P1059" s="1418"/>
      <c r="Q1059" s="1418"/>
      <c r="R1059" s="1418"/>
      <c r="S1059" s="1418"/>
      <c r="T1059" s="1418"/>
      <c r="U1059" s="1418"/>
      <c r="V1059" s="1418"/>
      <c r="W1059" s="1418"/>
      <c r="X1059" s="1418"/>
      <c r="Y1059" s="1418"/>
      <c r="Z1059" s="1418"/>
      <c r="AA1059" s="1418"/>
      <c r="AB1059" s="1418"/>
      <c r="AC1059" s="1418"/>
      <c r="AD1059" s="1418"/>
      <c r="AE1059" s="1418"/>
      <c r="AF1059" s="1418"/>
      <c r="AG1059" s="1418"/>
      <c r="AH1059" s="1418"/>
      <c r="AI1059" s="1418"/>
      <c r="AJ1059" s="1418"/>
      <c r="AK1059" s="1418"/>
      <c r="AL1059" s="1418"/>
      <c r="AM1059" s="1418"/>
      <c r="AN1059" s="1418"/>
      <c r="AO1059" s="1418"/>
      <c r="AP1059" s="1418"/>
      <c r="AQ1059" s="68"/>
      <c r="AR1059" s="68"/>
      <c r="AS1059" s="68"/>
      <c r="AT1059" s="68"/>
      <c r="AU1059" s="68"/>
      <c r="AV1059" s="68"/>
      <c r="AW1059" s="68"/>
      <c r="AX1059" s="68"/>
      <c r="AY1059" s="68"/>
    </row>
    <row r="1060" spans="1:51" ht="13"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67" t="s">
        <v>599</v>
      </c>
      <c r="B1064" s="1467"/>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467" t="s">
        <v>599</v>
      </c>
      <c r="B1070" s="1467"/>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467" t="s">
        <v>599</v>
      </c>
      <c r="B1076" s="1467"/>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467" t="s">
        <v>599</v>
      </c>
      <c r="B1083" s="1467"/>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467" t="s">
        <v>599</v>
      </c>
      <c r="B1086" s="1467"/>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467" t="s">
        <v>599</v>
      </c>
      <c r="B1091" s="1467"/>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467" t="s">
        <v>599</v>
      </c>
      <c r="B1094" s="1467"/>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467" t="s">
        <v>599</v>
      </c>
      <c r="B1098" s="1467"/>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67" t="s">
        <v>599</v>
      </c>
      <c r="B1103" s="1467"/>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4:F724"/>
    <mergeCell ref="B728:F728"/>
    <mergeCell ref="O723:S723"/>
    <mergeCell ref="G724:J724"/>
    <mergeCell ref="Q558:S558"/>
    <mergeCell ref="AH508:AK508"/>
    <mergeCell ref="B551:L553"/>
    <mergeCell ref="M551:P553"/>
    <mergeCell ref="Q551:S553"/>
    <mergeCell ref="T551:V553"/>
    <mergeCell ref="W551:Y553"/>
    <mergeCell ref="EH666:EL666"/>
    <mergeCell ref="T729:W729"/>
    <mergeCell ref="AH728:AJ728"/>
    <mergeCell ref="AH722:AJ722"/>
    <mergeCell ref="T787:W787"/>
    <mergeCell ref="T788:W788"/>
    <mergeCell ref="DX666:EB666"/>
    <mergeCell ref="EC666:EG666"/>
    <mergeCell ref="EC636:EG636"/>
    <mergeCell ref="EH636:EL636"/>
    <mergeCell ref="DX636:EB636"/>
    <mergeCell ref="DX623:EB623"/>
    <mergeCell ref="EC623:EG623"/>
    <mergeCell ref="EH623:EL623"/>
    <mergeCell ref="DX638:EB638"/>
    <mergeCell ref="H328:R328"/>
    <mergeCell ref="H329:R329"/>
    <mergeCell ref="H330:R330"/>
    <mergeCell ref="H327:R327"/>
    <mergeCell ref="H331:M331"/>
    <mergeCell ref="AA325:AK325"/>
    <mergeCell ref="H333:R333"/>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X725:AB725"/>
    <mergeCell ref="X728:AB728"/>
    <mergeCell ref="D442:AF442"/>
    <mergeCell ref="AH521:AK521"/>
    <mergeCell ref="W469:Y469"/>
    <mergeCell ref="AF430:AG430"/>
    <mergeCell ref="AC529:AF529"/>
    <mergeCell ref="AH530:AK530"/>
    <mergeCell ref="AH540:AK540"/>
    <mergeCell ref="AC515:AF515"/>
    <mergeCell ref="AC514:AF514"/>
    <mergeCell ref="B725:F725"/>
    <mergeCell ref="EC625:EG625"/>
    <mergeCell ref="EH625:EL625"/>
    <mergeCell ref="EM625:EQ625"/>
    <mergeCell ref="EC638:EG638"/>
    <mergeCell ref="EH638:EL638"/>
    <mergeCell ref="EM638:EQ638"/>
    <mergeCell ref="ER638:EV638"/>
    <mergeCell ref="EC635:EG635"/>
    <mergeCell ref="EH635:EL635"/>
    <mergeCell ref="EM635:EQ635"/>
    <mergeCell ref="ER635:EV635"/>
    <mergeCell ref="EW635:FA635"/>
    <mergeCell ref="EW631:FA631"/>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59:EB659"/>
    <mergeCell ref="EC659:EG659"/>
    <mergeCell ref="EH659:EL659"/>
    <mergeCell ref="ER636:EV636"/>
    <mergeCell ref="EM636:EQ636"/>
    <mergeCell ref="EW641:FA641"/>
    <mergeCell ref="DX642:EB642"/>
    <mergeCell ref="DX629:EB629"/>
    <mergeCell ref="EC629:EG629"/>
    <mergeCell ref="EH629:EL629"/>
    <mergeCell ref="EM629:EQ629"/>
    <mergeCell ref="ER629:EV629"/>
    <mergeCell ref="EW629:FA629"/>
    <mergeCell ref="EH632:EL632"/>
    <mergeCell ref="EM632:EQ632"/>
    <mergeCell ref="ER632:EV632"/>
    <mergeCell ref="EW632:FA632"/>
    <mergeCell ref="DX635:EB635"/>
    <mergeCell ref="EM623:EQ623"/>
    <mergeCell ref="ER623:EV623"/>
    <mergeCell ref="EW623:FA623"/>
    <mergeCell ref="DX624:EB624"/>
    <mergeCell ref="EW636:FA636"/>
    <mergeCell ref="ER637:EV637"/>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M626:DQ626"/>
    <mergeCell ref="DR626:DV626"/>
    <mergeCell ref="CS627:CW627"/>
    <mergeCell ref="CX627:DB627"/>
    <mergeCell ref="DC627:DG627"/>
    <mergeCell ref="DH627:DL627"/>
    <mergeCell ref="DM627:DQ627"/>
    <mergeCell ref="DR627:DV627"/>
    <mergeCell ref="DC624:DG624"/>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BG626:BH626"/>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CH625:CL625"/>
    <mergeCell ref="CM625:CQ625"/>
    <mergeCell ref="BS623:BW623"/>
    <mergeCell ref="BX623:CB623"/>
    <mergeCell ref="BN625:BR625"/>
    <mergeCell ref="BS625:BW625"/>
    <mergeCell ref="BX625:CB625"/>
    <mergeCell ref="CM629:CQ629"/>
    <mergeCell ref="CS620:CW620"/>
    <mergeCell ref="CX620:DB620"/>
    <mergeCell ref="CH626:CL626"/>
    <mergeCell ref="CM626:CQ626"/>
    <mergeCell ref="BN627:BR627"/>
    <mergeCell ref="BS627:BW627"/>
    <mergeCell ref="BK629:BL629"/>
    <mergeCell ref="AH524:AK524"/>
    <mergeCell ref="AH525:AK525"/>
    <mergeCell ref="AM560:AS560"/>
    <mergeCell ref="AG446:AJ446"/>
    <mergeCell ref="D440:AF440"/>
    <mergeCell ref="AG438:AJ438"/>
    <mergeCell ref="AM555:AS555"/>
    <mergeCell ref="BX624:CB624"/>
    <mergeCell ref="CC624:CG624"/>
    <mergeCell ref="BE624:BF624"/>
    <mergeCell ref="BG624:BH624"/>
    <mergeCell ref="BI624:BJ624"/>
    <mergeCell ref="BK624:BL624"/>
    <mergeCell ref="BE625:BF625"/>
    <mergeCell ref="BG625:BH625"/>
    <mergeCell ref="BI625:BJ625"/>
    <mergeCell ref="BK625:BL625"/>
    <mergeCell ref="CC625:CG625"/>
    <mergeCell ref="AH510:AK510"/>
    <mergeCell ref="AC512:AF512"/>
    <mergeCell ref="AH512:AK512"/>
    <mergeCell ref="AC454:AF454"/>
    <mergeCell ref="BI626:BJ626"/>
    <mergeCell ref="BK626:BL626"/>
    <mergeCell ref="AH538:AK538"/>
    <mergeCell ref="Z551:AD553"/>
    <mergeCell ref="Q485:AK485"/>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C536:AF536"/>
    <mergeCell ref="I421:K421"/>
    <mergeCell ref="AH507:AK507"/>
    <mergeCell ref="AA319:AK319"/>
    <mergeCell ref="AH534:AK534"/>
    <mergeCell ref="AC504:AF504"/>
    <mergeCell ref="D449:AF449"/>
    <mergeCell ref="B501:H502"/>
    <mergeCell ref="O523:AA523"/>
    <mergeCell ref="AC519:AF519"/>
    <mergeCell ref="AE424:AF424"/>
    <mergeCell ref="AC523:AF523"/>
    <mergeCell ref="AC510:AF510"/>
    <mergeCell ref="AC503:AF503"/>
    <mergeCell ref="AC526:AF526"/>
    <mergeCell ref="AH531:AK531"/>
    <mergeCell ref="AC502:AF502"/>
    <mergeCell ref="AC530:AF530"/>
    <mergeCell ref="O526:AA526"/>
    <mergeCell ref="B517:H519"/>
    <mergeCell ref="AC524:AF524"/>
    <mergeCell ref="AH500:AK500"/>
    <mergeCell ref="AG448:AJ448"/>
    <mergeCell ref="AC522:AF522"/>
    <mergeCell ref="D467:V467"/>
    <mergeCell ref="AC531:AF531"/>
    <mergeCell ref="AC513:AF513"/>
    <mergeCell ref="AH513:AK513"/>
    <mergeCell ref="AH505:AK505"/>
    <mergeCell ref="AH506:AK506"/>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M554:AS554"/>
    <mergeCell ref="M495:P495"/>
    <mergeCell ref="AC501:AF501"/>
    <mergeCell ref="AH526:AK526"/>
    <mergeCell ref="W473:Y473"/>
    <mergeCell ref="AC520:AF520"/>
    <mergeCell ref="AC527:AF527"/>
    <mergeCell ref="B520:H542"/>
    <mergeCell ref="AC518:AF518"/>
    <mergeCell ref="Q554:S554"/>
    <mergeCell ref="AG440:AJ440"/>
    <mergeCell ref="AH516:AK516"/>
    <mergeCell ref="Q491:AK491"/>
    <mergeCell ref="AG447:AJ447"/>
    <mergeCell ref="AH495:AK495"/>
    <mergeCell ref="AH529:AK529"/>
    <mergeCell ref="D465:V465"/>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69:V469"/>
    <mergeCell ref="D445:AF445"/>
    <mergeCell ref="D446:AF446"/>
    <mergeCell ref="D447:AF447"/>
    <mergeCell ref="D437:AF437"/>
    <mergeCell ref="E420:AJ420"/>
    <mergeCell ref="J388:U388"/>
    <mergeCell ref="S402:U402"/>
    <mergeCell ref="P425:Q425"/>
    <mergeCell ref="I418:K418"/>
    <mergeCell ref="S413:T413"/>
    <mergeCell ref="J387:U387"/>
    <mergeCell ref="T398:AJ398"/>
    <mergeCell ref="AC387:AJ387"/>
    <mergeCell ref="AG394:AJ394"/>
    <mergeCell ref="AG391:AJ391"/>
    <mergeCell ref="K404:AJ404"/>
    <mergeCell ref="AC386:AJ386"/>
    <mergeCell ref="AC528:AF528"/>
    <mergeCell ref="T554:V554"/>
    <mergeCell ref="Q556:S556"/>
    <mergeCell ref="AH542:AK542"/>
    <mergeCell ref="AC542:AF542"/>
    <mergeCell ref="AI557:AL557"/>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E556:AH556"/>
    <mergeCell ref="M554:P554"/>
    <mergeCell ref="AH519:AK519"/>
    <mergeCell ref="AH541:AK541"/>
    <mergeCell ref="AC535:AF535"/>
    <mergeCell ref="AI554:AL554"/>
    <mergeCell ref="V388:AJ388"/>
    <mergeCell ref="D443:AF443"/>
    <mergeCell ref="W471:Y471"/>
    <mergeCell ref="AG395:AJ395"/>
    <mergeCell ref="AI392:AJ392"/>
    <mergeCell ref="AH520:AK520"/>
    <mergeCell ref="AC537:AF537"/>
    <mergeCell ref="AH539:AK539"/>
    <mergeCell ref="H414:AE415"/>
    <mergeCell ref="AI397:AJ397"/>
    <mergeCell ref="T399:AJ399"/>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AG393:AJ393"/>
    <mergeCell ref="BI629:BJ629"/>
    <mergeCell ref="BE626:BF626"/>
    <mergeCell ref="Q557:S557"/>
    <mergeCell ref="Q393:U393"/>
    <mergeCell ref="AG380:AH380"/>
    <mergeCell ref="W466:Y466"/>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N583:O583"/>
    <mergeCell ref="C557:L557"/>
    <mergeCell ref="AH537:AK537"/>
    <mergeCell ref="AC534:AF534"/>
    <mergeCell ref="AE559:AH559"/>
    <mergeCell ref="AI559:AL559"/>
    <mergeCell ref="AI558:AL558"/>
    <mergeCell ref="Z557:AD557"/>
    <mergeCell ref="AI561:AL561"/>
    <mergeCell ref="AE560:AH560"/>
    <mergeCell ref="T556:V556"/>
    <mergeCell ref="BX608:CB608"/>
    <mergeCell ref="BE612:BF612"/>
    <mergeCell ref="BX611:CB611"/>
    <mergeCell ref="BX614:CB614"/>
    <mergeCell ref="BS613:BW613"/>
    <mergeCell ref="BI611:BJ611"/>
    <mergeCell ref="BK601:BL601"/>
    <mergeCell ref="W557:Y557"/>
    <mergeCell ref="W558:Y558"/>
    <mergeCell ref="AE558:AH558"/>
    <mergeCell ref="AE562:AH562"/>
    <mergeCell ref="Q562:S562"/>
    <mergeCell ref="AM557:AS557"/>
    <mergeCell ref="AE557:AH557"/>
    <mergeCell ref="T557:V557"/>
    <mergeCell ref="CH612:CL612"/>
    <mergeCell ref="BE613:BF613"/>
    <mergeCell ref="BN618:BR618"/>
    <mergeCell ref="BK617:BL617"/>
    <mergeCell ref="Q563:S563"/>
    <mergeCell ref="X738:AB738"/>
    <mergeCell ref="X729:AB729"/>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P655:R655"/>
    <mergeCell ref="AI565:AL565"/>
    <mergeCell ref="AF574:AK574"/>
    <mergeCell ref="Z585:AK585"/>
    <mergeCell ref="BN629:BR629"/>
    <mergeCell ref="BS629:BW629"/>
    <mergeCell ref="BX629:CB629"/>
    <mergeCell ref="BX598:CB598"/>
    <mergeCell ref="AM564:AS564"/>
    <mergeCell ref="BX612:CB612"/>
    <mergeCell ref="BX615:CB615"/>
    <mergeCell ref="BG618:BH618"/>
    <mergeCell ref="BN620:BR620"/>
    <mergeCell ref="BX616:CB616"/>
    <mergeCell ref="BN621:BR621"/>
    <mergeCell ref="BS621:BW621"/>
    <mergeCell ref="BX621:CB621"/>
    <mergeCell ref="BK623:BL623"/>
    <mergeCell ref="BG611:BH611"/>
    <mergeCell ref="BK607:BL607"/>
    <mergeCell ref="BN607:BR607"/>
    <mergeCell ref="BS607:BW607"/>
    <mergeCell ref="BN609:BR609"/>
    <mergeCell ref="BN610:BR610"/>
    <mergeCell ref="CC620:CG620"/>
    <mergeCell ref="CC623:CG623"/>
    <mergeCell ref="BX619:CB619"/>
    <mergeCell ref="CC616:CG616"/>
    <mergeCell ref="BX618:CB618"/>
    <mergeCell ref="CC618:CG618"/>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07:CB607"/>
    <mergeCell ref="BS598:BW598"/>
    <mergeCell ref="BS599:BW599"/>
    <mergeCell ref="CC598:CG598"/>
    <mergeCell ref="BI607:BJ607"/>
    <mergeCell ref="BG604:BH604"/>
    <mergeCell ref="BK610:BL610"/>
    <mergeCell ref="BX604:CB604"/>
    <mergeCell ref="CH597:CL597"/>
    <mergeCell ref="Z559:AD559"/>
    <mergeCell ref="Z560:AD560"/>
    <mergeCell ref="G604:R604"/>
    <mergeCell ref="Z604:AK604"/>
    <mergeCell ref="BN637:BR637"/>
    <mergeCell ref="BS631:BW631"/>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K606:BL606"/>
    <mergeCell ref="BI605:BJ605"/>
    <mergeCell ref="BX603:CB603"/>
    <mergeCell ref="BK598:BL598"/>
    <mergeCell ref="CC601:CG601"/>
    <mergeCell ref="CC602:CG602"/>
    <mergeCell ref="BS604:BW604"/>
    <mergeCell ref="CC605:CG605"/>
    <mergeCell ref="CC606:CG606"/>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E604:BF604"/>
    <mergeCell ref="BE606:BF606"/>
    <mergeCell ref="BE597:BF597"/>
    <mergeCell ref="N591:O591"/>
    <mergeCell ref="AA590:AK590"/>
    <mergeCell ref="BG606:BH606"/>
    <mergeCell ref="AI589:AK589"/>
    <mergeCell ref="Z596:AK596"/>
    <mergeCell ref="H598:R598"/>
    <mergeCell ref="G597:L597"/>
    <mergeCell ref="AG591:AH591"/>
    <mergeCell ref="N370:Q370"/>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G603:BH603"/>
    <mergeCell ref="BS605:BW605"/>
    <mergeCell ref="BX605:CB605"/>
    <mergeCell ref="BI601:BJ601"/>
    <mergeCell ref="BI600:BJ600"/>
    <mergeCell ref="BN603:BR603"/>
    <mergeCell ref="BN606:BR606"/>
    <mergeCell ref="CC597:CG597"/>
    <mergeCell ref="BK603:BL603"/>
    <mergeCell ref="AA324:AF324"/>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H338:R338"/>
    <mergeCell ref="AI323:AK323"/>
    <mergeCell ref="AA337:AK337"/>
    <mergeCell ref="AA333:AK333"/>
    <mergeCell ref="AE402:AJ402"/>
    <mergeCell ref="AC385:AJ385"/>
    <mergeCell ref="BN596:BR596"/>
    <mergeCell ref="BI602:BJ602"/>
    <mergeCell ref="H303:R303"/>
    <mergeCell ref="AA308:AF308"/>
    <mergeCell ref="AA305:AK305"/>
    <mergeCell ref="M261:T261"/>
    <mergeCell ref="AH262:AK262"/>
    <mergeCell ref="AA311:AK311"/>
    <mergeCell ref="AA306:AK306"/>
    <mergeCell ref="AA303:AK303"/>
    <mergeCell ref="D270:H270"/>
    <mergeCell ref="X270:AC270"/>
    <mergeCell ref="H297:R297"/>
    <mergeCell ref="AA298:AK298"/>
    <mergeCell ref="M262:AE262"/>
    <mergeCell ref="T267:X267"/>
    <mergeCell ref="Z263:AE263"/>
    <mergeCell ref="BS602:BW602"/>
    <mergeCell ref="BX602:CB602"/>
    <mergeCell ref="BI598:BJ598"/>
    <mergeCell ref="BK599:BL599"/>
    <mergeCell ref="BN599:BR599"/>
    <mergeCell ref="G602:R602"/>
    <mergeCell ref="N599:O599"/>
    <mergeCell ref="AA598:AK598"/>
    <mergeCell ref="Z587:AK587"/>
    <mergeCell ref="BG596:BH596"/>
    <mergeCell ref="BG599:BH599"/>
    <mergeCell ref="BN597:BR597"/>
    <mergeCell ref="BG597:BH597"/>
    <mergeCell ref="BI597:BJ597"/>
    <mergeCell ref="BK596:BL596"/>
    <mergeCell ref="AM563:AS563"/>
    <mergeCell ref="G593:R593"/>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AH246:AK246"/>
    <mergeCell ref="Y117:AK117"/>
    <mergeCell ref="T190:AE190"/>
    <mergeCell ref="M232:AK232"/>
    <mergeCell ref="U263:W263"/>
    <mergeCell ref="M257:T257"/>
    <mergeCell ref="M256:AE256"/>
    <mergeCell ref="P291:R291"/>
    <mergeCell ref="L274:AJ274"/>
    <mergeCell ref="H289:R289"/>
    <mergeCell ref="H291:M291"/>
    <mergeCell ref="AA257:AK257"/>
    <mergeCell ref="M260:AE260"/>
    <mergeCell ref="AA265:AK265"/>
    <mergeCell ref="H295:R295"/>
    <mergeCell ref="Z247:AE247"/>
    <mergeCell ref="W245:X245"/>
    <mergeCell ref="U247:W247"/>
    <mergeCell ref="M237:AE237"/>
    <mergeCell ref="AI227:AJ227"/>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249:AK249"/>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A83:AT84"/>
    <mergeCell ref="A222:AT223"/>
    <mergeCell ref="A169:AT170"/>
    <mergeCell ref="Y123:AK123"/>
    <mergeCell ref="AC245:AE245"/>
    <mergeCell ref="M246:AE246"/>
    <mergeCell ref="AA330:AK330"/>
    <mergeCell ref="H324:M324"/>
    <mergeCell ref="H315:M315"/>
    <mergeCell ref="H321:R321"/>
    <mergeCell ref="H322:R322"/>
    <mergeCell ref="AA331:AF331"/>
    <mergeCell ref="P315:R31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52:AE252"/>
    <mergeCell ref="AA291:AF291"/>
    <mergeCell ref="M259:AE259"/>
    <mergeCell ref="AA293:AK293"/>
    <mergeCell ref="W261:X261"/>
    <mergeCell ref="AI299:AK299"/>
    <mergeCell ref="AA315:AF315"/>
    <mergeCell ref="H298:R298"/>
    <mergeCell ref="H312:R312"/>
    <mergeCell ref="AI307:AK307"/>
    <mergeCell ref="L279:AD279"/>
    <mergeCell ref="H314:R314"/>
    <mergeCell ref="H316:M316"/>
    <mergeCell ref="AA323:AF323"/>
    <mergeCell ref="H320:R320"/>
    <mergeCell ref="H296:R296"/>
    <mergeCell ref="H323:M323"/>
    <mergeCell ref="AI315:AK315"/>
    <mergeCell ref="AA299:AF299"/>
    <mergeCell ref="AA287:AK287"/>
    <mergeCell ref="AA304:AK304"/>
    <mergeCell ref="AA312:AK312"/>
    <mergeCell ref="AA288:AK288"/>
    <mergeCell ref="H287:R287"/>
    <mergeCell ref="H311:R311"/>
    <mergeCell ref="H308:M308"/>
    <mergeCell ref="P307:R307"/>
    <mergeCell ref="H305:R305"/>
    <mergeCell ref="AA300:AF300"/>
    <mergeCell ref="H306:R306"/>
    <mergeCell ref="AA301:AK301"/>
    <mergeCell ref="H301:R301"/>
    <mergeCell ref="AA292:AF292"/>
    <mergeCell ref="AA307:AF307"/>
    <mergeCell ref="H313:R313"/>
    <mergeCell ref="H299:M299"/>
    <mergeCell ref="H300:M300"/>
    <mergeCell ref="H304:R304"/>
    <mergeCell ref="H332:M332"/>
    <mergeCell ref="AA336:AK336"/>
    <mergeCell ref="AA329:AK329"/>
    <mergeCell ref="P331:R331"/>
    <mergeCell ref="H325:R325"/>
    <mergeCell ref="H307:M307"/>
    <mergeCell ref="H292:M292"/>
    <mergeCell ref="H309:R309"/>
    <mergeCell ref="AA309:AK309"/>
    <mergeCell ref="AA327:AK327"/>
    <mergeCell ref="M263:R263"/>
    <mergeCell ref="M265:T265"/>
    <mergeCell ref="AA314:AK314"/>
    <mergeCell ref="AA313:AK313"/>
    <mergeCell ref="H319:R319"/>
    <mergeCell ref="AA316:AF316"/>
    <mergeCell ref="AA297:AK297"/>
    <mergeCell ref="H288:R288"/>
    <mergeCell ref="AA290:AK290"/>
    <mergeCell ref="AA335:AK335"/>
    <mergeCell ref="AI291:AK291"/>
    <mergeCell ref="H336:R336"/>
    <mergeCell ref="AA320:AK320"/>
    <mergeCell ref="AA321:AK321"/>
    <mergeCell ref="AA322:AK322"/>
    <mergeCell ref="A282:AT283"/>
    <mergeCell ref="H317:R317"/>
    <mergeCell ref="L276:S276"/>
    <mergeCell ref="L278:Q278"/>
    <mergeCell ref="AA296:AK296"/>
    <mergeCell ref="AA289:AK289"/>
    <mergeCell ref="P323:R323"/>
    <mergeCell ref="AA339:AF339"/>
    <mergeCell ref="D468:V468"/>
    <mergeCell ref="S405:AJ405"/>
    <mergeCell ref="AC539:AF539"/>
    <mergeCell ref="F457:AB458"/>
    <mergeCell ref="N575:O575"/>
    <mergeCell ref="G569:R569"/>
    <mergeCell ref="H582:R582"/>
    <mergeCell ref="AC347:AE347"/>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P343:AE343"/>
    <mergeCell ref="AA340:AF340"/>
    <mergeCell ref="H614:R614"/>
    <mergeCell ref="AA656:AK656"/>
    <mergeCell ref="G579:R579"/>
    <mergeCell ref="AC724:AG724"/>
    <mergeCell ref="W633:Y633"/>
    <mergeCell ref="B718:F718"/>
    <mergeCell ref="G720:J720"/>
    <mergeCell ref="B721:F721"/>
    <mergeCell ref="B727:F727"/>
    <mergeCell ref="X723:AB723"/>
    <mergeCell ref="T719:W719"/>
    <mergeCell ref="O724:S724"/>
    <mergeCell ref="T725:W725"/>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B722:F722"/>
    <mergeCell ref="H606:R606"/>
    <mergeCell ref="G605:L605"/>
    <mergeCell ref="M557:P557"/>
    <mergeCell ref="C558:L558"/>
    <mergeCell ref="Z613:AE613"/>
    <mergeCell ref="B723:F723"/>
    <mergeCell ref="T722:W722"/>
    <mergeCell ref="B639:AN639"/>
    <mergeCell ref="B640:AN640"/>
    <mergeCell ref="B641:AN641"/>
    <mergeCell ref="AC630:AE630"/>
    <mergeCell ref="AC631:AE631"/>
    <mergeCell ref="AC632:AE632"/>
    <mergeCell ref="Z646:AK646"/>
    <mergeCell ref="G568:R568"/>
    <mergeCell ref="M574:R574"/>
    <mergeCell ref="T720:W720"/>
    <mergeCell ref="K720:N720"/>
    <mergeCell ref="Z671:AE671"/>
    <mergeCell ref="Z668:AK668"/>
    <mergeCell ref="P663:R663"/>
    <mergeCell ref="G659:R659"/>
    <mergeCell ref="AI679:AK679"/>
    <mergeCell ref="AG657:AH657"/>
    <mergeCell ref="G661:R661"/>
    <mergeCell ref="G610:R610"/>
    <mergeCell ref="Z663:AE663"/>
    <mergeCell ref="AG665:AH665"/>
    <mergeCell ref="G653:R653"/>
    <mergeCell ref="AG681:AH681"/>
    <mergeCell ref="W638:Y638"/>
    <mergeCell ref="G651:R651"/>
    <mergeCell ref="G652:R652"/>
    <mergeCell ref="Z655:AE655"/>
    <mergeCell ref="D470:V470"/>
    <mergeCell ref="K728:N728"/>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H664:R664"/>
    <mergeCell ref="AK631:AN631"/>
    <mergeCell ref="AK632:AN632"/>
    <mergeCell ref="Q564:S564"/>
    <mergeCell ref="AC538:AF538"/>
    <mergeCell ref="M561:P561"/>
    <mergeCell ref="AC540:AF540"/>
    <mergeCell ref="J769:N772"/>
    <mergeCell ref="AG823:AJ824"/>
    <mergeCell ref="AC797:AG797"/>
    <mergeCell ref="AC787:AG787"/>
    <mergeCell ref="M830:P830"/>
    <mergeCell ref="T791:W791"/>
    <mergeCell ref="T565:V565"/>
    <mergeCell ref="C560:L560"/>
    <mergeCell ref="M560:P560"/>
    <mergeCell ref="AD412:AE412"/>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H536:AK536"/>
    <mergeCell ref="AC826:AF826"/>
    <mergeCell ref="AC827:AF827"/>
    <mergeCell ref="AC777:AG777"/>
    <mergeCell ref="Q823:T824"/>
    <mergeCell ref="Z809:AE809"/>
    <mergeCell ref="AC831:AF831"/>
    <mergeCell ref="Q829:T829"/>
    <mergeCell ref="Q559:S559"/>
    <mergeCell ref="AI556:AL556"/>
    <mergeCell ref="Y827:AB827"/>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J775:N775"/>
    <mergeCell ref="AC776:AG776"/>
    <mergeCell ref="Z659:AK659"/>
    <mergeCell ref="N657:O657"/>
    <mergeCell ref="Z660:AK660"/>
    <mergeCell ref="G663:L663"/>
    <mergeCell ref="T739:W739"/>
    <mergeCell ref="G752:J752"/>
    <mergeCell ref="Y801:AC801"/>
    <mergeCell ref="G732:J732"/>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28:X828"/>
    <mergeCell ref="Z818:AE818"/>
    <mergeCell ref="AZ851:BA851"/>
    <mergeCell ref="W876:AC876"/>
    <mergeCell ref="M861:V861"/>
    <mergeCell ref="W845:AC845"/>
    <mergeCell ref="W854:AC854"/>
    <mergeCell ref="BD898:BE898"/>
    <mergeCell ref="BD900:BE900"/>
    <mergeCell ref="BD901:BE901"/>
    <mergeCell ref="BD899:BE899"/>
    <mergeCell ref="O796:S796"/>
    <mergeCell ref="X777:AB777"/>
    <mergeCell ref="M875:V875"/>
    <mergeCell ref="W877:AC877"/>
    <mergeCell ref="W853:AC853"/>
    <mergeCell ref="AC886:AH886"/>
    <mergeCell ref="W874:AC874"/>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C888:AH888"/>
    <mergeCell ref="M878:V878"/>
    <mergeCell ref="AC883:AH883"/>
    <mergeCell ref="Z901:AE901"/>
    <mergeCell ref="AC891:AH891"/>
    <mergeCell ref="C893:AB893"/>
    <mergeCell ref="BD902:BE902"/>
    <mergeCell ref="Z898:AE898"/>
    <mergeCell ref="W872:AC872"/>
    <mergeCell ref="AC884:AH884"/>
    <mergeCell ref="W875:AC875"/>
    <mergeCell ref="T858:V858"/>
    <mergeCell ref="T860:V860"/>
    <mergeCell ref="W867:AC867"/>
    <mergeCell ref="W862:AC862"/>
    <mergeCell ref="W851:AC851"/>
    <mergeCell ref="W842:AC842"/>
    <mergeCell ref="W847:AC847"/>
    <mergeCell ref="U832:X832"/>
    <mergeCell ref="M832:P832"/>
    <mergeCell ref="W866:AC866"/>
    <mergeCell ref="C894:AB894"/>
    <mergeCell ref="AG832:AJ832"/>
    <mergeCell ref="W844:AC844"/>
    <mergeCell ref="AC832:AF832"/>
    <mergeCell ref="W863:AC863"/>
    <mergeCell ref="W849:AC849"/>
    <mergeCell ref="M877:V877"/>
    <mergeCell ref="W869:AC869"/>
    <mergeCell ref="W859:AC859"/>
    <mergeCell ref="W857:AC857"/>
    <mergeCell ref="Y832:AB832"/>
    <mergeCell ref="M871:V871"/>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A918:AF918"/>
    <mergeCell ref="U923:Z923"/>
    <mergeCell ref="AA922:AF922"/>
    <mergeCell ref="AB916:AE916"/>
    <mergeCell ref="AA921:AF921"/>
    <mergeCell ref="M957:S957"/>
    <mergeCell ref="AA971:AG971"/>
    <mergeCell ref="AA919:AF919"/>
    <mergeCell ref="M955:S95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O789:S789"/>
    <mergeCell ref="BX610:CB610"/>
    <mergeCell ref="W635:Y635"/>
    <mergeCell ref="AF624:AJ626"/>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BN641:BR641"/>
    <mergeCell ref="H656:R656"/>
    <mergeCell ref="W636:Y636"/>
    <mergeCell ref="AI613:AK613"/>
    <mergeCell ref="W637:Y637"/>
    <mergeCell ref="AO640:AS640"/>
    <mergeCell ref="BN645:BR645"/>
    <mergeCell ref="BE631:BF631"/>
    <mergeCell ref="BS616:BW616"/>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I618:BJ618"/>
    <mergeCell ref="BK618:BL618"/>
    <mergeCell ref="BI623:BJ623"/>
    <mergeCell ref="AO632:AS632"/>
    <mergeCell ref="AK630:AN630"/>
    <mergeCell ref="BE615:BF615"/>
    <mergeCell ref="BG619:BH619"/>
    <mergeCell ref="BE629:BF629"/>
    <mergeCell ref="BG629:BH629"/>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G631:BH631"/>
    <mergeCell ref="BI631:BJ631"/>
    <mergeCell ref="CH613:CL613"/>
    <mergeCell ref="BI630:BJ630"/>
    <mergeCell ref="CC629:CG629"/>
    <mergeCell ref="CH629:CL629"/>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AO639:AS639"/>
    <mergeCell ref="AO629:AS629"/>
    <mergeCell ref="AF630:AJ630"/>
    <mergeCell ref="BE617:BF617"/>
    <mergeCell ref="AA614:AK614"/>
    <mergeCell ref="Z570:AK570"/>
    <mergeCell ref="AM558:AS558"/>
    <mergeCell ref="AM566:AS566"/>
    <mergeCell ref="AM556:AS556"/>
    <mergeCell ref="H573:R573"/>
    <mergeCell ref="B566:AL566"/>
    <mergeCell ref="AM561:AS561"/>
    <mergeCell ref="AM559:AS559"/>
    <mergeCell ref="H590:R590"/>
    <mergeCell ref="G587:R587"/>
    <mergeCell ref="G578:R578"/>
    <mergeCell ref="AF631:AJ631"/>
    <mergeCell ref="AF632:AJ632"/>
    <mergeCell ref="Z602:AK602"/>
    <mergeCell ref="Z612:AK612"/>
    <mergeCell ref="AC627:AE627"/>
    <mergeCell ref="Q638:S638"/>
    <mergeCell ref="Z634:AB634"/>
    <mergeCell ref="Z635:AB635"/>
    <mergeCell ref="W628:Y628"/>
    <mergeCell ref="W629:Y629"/>
    <mergeCell ref="W630:Y630"/>
    <mergeCell ref="W631:Y631"/>
    <mergeCell ref="AG615:AH615"/>
    <mergeCell ref="AA606:AK606"/>
    <mergeCell ref="AK628:AN628"/>
    <mergeCell ref="AO638:AS638"/>
    <mergeCell ref="N372:Q372"/>
    <mergeCell ref="P424:Q424"/>
    <mergeCell ref="Q492:AK492"/>
    <mergeCell ref="AF418:AH418"/>
    <mergeCell ref="Z434:AA434"/>
    <mergeCell ref="AI339:AK339"/>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G570:R570"/>
    <mergeCell ref="Z561:AD561"/>
    <mergeCell ref="M562:P562"/>
    <mergeCell ref="M563:P563"/>
    <mergeCell ref="T564:V564"/>
    <mergeCell ref="AE425:AF425"/>
    <mergeCell ref="AC507:AF507"/>
    <mergeCell ref="H335:R335"/>
    <mergeCell ref="M358:N358"/>
    <mergeCell ref="CX596:DB596"/>
    <mergeCell ref="D438:AF438"/>
    <mergeCell ref="M355:N355"/>
    <mergeCell ref="D439:AF439"/>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A544:AT545"/>
    <mergeCell ref="A480:AT481"/>
    <mergeCell ref="P346:AE346"/>
    <mergeCell ref="P344:AE344"/>
    <mergeCell ref="CC608:CG608"/>
    <mergeCell ref="CH606:CL606"/>
    <mergeCell ref="CH605:CL605"/>
    <mergeCell ref="CH609:CL60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O797:S797"/>
    <mergeCell ref="AC769:AG772"/>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W871:AC871"/>
    <mergeCell ref="J793:N793"/>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T790:W790"/>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H734:AJ734"/>
    <mergeCell ref="AH729:AJ729"/>
    <mergeCell ref="J367:K367"/>
    <mergeCell ref="AG379:AH379"/>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AH739:AJ739"/>
    <mergeCell ref="AH740:AJ740"/>
    <mergeCell ref="M831:P831"/>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B733:F733"/>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F939:T939"/>
    <mergeCell ref="U938:Z938"/>
    <mergeCell ref="M961:S961"/>
    <mergeCell ref="AA941:AF941"/>
    <mergeCell ref="F943:T943"/>
    <mergeCell ref="U943:Z943"/>
    <mergeCell ref="AA943:AF943"/>
    <mergeCell ref="F929:T929"/>
    <mergeCell ref="F930:T930"/>
    <mergeCell ref="F931:T931"/>
    <mergeCell ref="U942:Z942"/>
    <mergeCell ref="U928:Z928"/>
    <mergeCell ref="AA928:AF928"/>
    <mergeCell ref="U929:Z929"/>
    <mergeCell ref="AA929:AF929"/>
    <mergeCell ref="U930:Z930"/>
    <mergeCell ref="U939:Z939"/>
    <mergeCell ref="F935:T935"/>
    <mergeCell ref="U935:Z935"/>
    <mergeCell ref="AA935:AF93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H614:EL614"/>
    <mergeCell ref="EM614:EQ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64:EB664"/>
    <mergeCell ref="EC664:EG664"/>
    <mergeCell ref="EH664:EL664"/>
    <mergeCell ref="EM654:EQ654"/>
    <mergeCell ref="ER654:EV654"/>
    <mergeCell ref="EM652:EQ652"/>
    <mergeCell ref="DX650:EB650"/>
    <mergeCell ref="EC650:EG650"/>
    <mergeCell ref="EC655:EG655"/>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C642:EG642"/>
    <mergeCell ref="EH642:EL642"/>
    <mergeCell ref="EM642:EQ64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7:EQ667"/>
    <mergeCell ref="ER667:EV667"/>
    <mergeCell ref="EW667:FA667"/>
    <mergeCell ref="EM661:EQ661"/>
    <mergeCell ref="ER670:EV670"/>
    <mergeCell ref="DX669:EB669"/>
    <mergeCell ref="EC670:EG670"/>
    <mergeCell ref="EH670:EL670"/>
    <mergeCell ref="EM666:EQ666"/>
    <mergeCell ref="ER666:EV666"/>
    <mergeCell ref="EW666:FA666"/>
    <mergeCell ref="DX667:EB667"/>
    <mergeCell ref="DX658:EB658"/>
    <mergeCell ref="AK636:AN636"/>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R645:EV645"/>
    <mergeCell ref="DX646:EB646"/>
    <mergeCell ref="EC646:EG646"/>
    <mergeCell ref="EH646:EL646"/>
    <mergeCell ref="DX639:EB639"/>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R656:EV656"/>
    <mergeCell ref="EC669:EG669"/>
    <mergeCell ref="EH669:EL669"/>
    <mergeCell ref="EM669:EQ669"/>
    <mergeCell ref="ER661:EV661"/>
    <mergeCell ref="EW645:FA645"/>
    <mergeCell ref="EC658:EG658"/>
    <mergeCell ref="EH658:EL658"/>
    <mergeCell ref="EM658:EQ658"/>
    <mergeCell ref="ER658:EV658"/>
    <mergeCell ref="EW658:FA658"/>
    <mergeCell ref="DX665:EB665"/>
    <mergeCell ref="EC665:EG665"/>
    <mergeCell ref="EH665:EL665"/>
    <mergeCell ref="EM665:EQ665"/>
    <mergeCell ref="ER665:EV665"/>
    <mergeCell ref="EW665:FA665"/>
    <mergeCell ref="DX662:EB662"/>
    <mergeCell ref="EC662:EG662"/>
    <mergeCell ref="EH662:EL662"/>
    <mergeCell ref="CM616:CQ616"/>
    <mergeCell ref="CM617:CQ617"/>
    <mergeCell ref="CM618:CQ618"/>
    <mergeCell ref="ER642:EV642"/>
    <mergeCell ref="DX641:EB641"/>
    <mergeCell ref="EW646:FA646"/>
    <mergeCell ref="EW653:FA653"/>
    <mergeCell ref="EW654:FA654"/>
    <mergeCell ref="EC647:EG647"/>
    <mergeCell ref="EW661:FA661"/>
    <mergeCell ref="EM662:EQ662"/>
    <mergeCell ref="ER662:EV662"/>
    <mergeCell ref="EW662:FA662"/>
    <mergeCell ref="DX663:EB663"/>
    <mergeCell ref="EC663:EG663"/>
    <mergeCell ref="EH663:EL663"/>
    <mergeCell ref="EM663:EQ663"/>
    <mergeCell ref="ER663:EV663"/>
    <mergeCell ref="ER646:EV646"/>
    <mergeCell ref="DX649:EB649"/>
    <mergeCell ref="EH649:EL649"/>
    <mergeCell ref="DX655:EB655"/>
    <mergeCell ref="DX647:EB647"/>
    <mergeCell ref="EW619:FA619"/>
    <mergeCell ref="EC630:EG630"/>
    <mergeCell ref="EH630:EL630"/>
    <mergeCell ref="EM630:EQ630"/>
    <mergeCell ref="EW663:FA663"/>
    <mergeCell ref="DX620:EB620"/>
    <mergeCell ref="EH617:EL617"/>
    <mergeCell ref="EM617:EQ617"/>
    <mergeCell ref="ER617:EV617"/>
    <mergeCell ref="CH631:CL631"/>
    <mergeCell ref="AO634:AS634"/>
    <mergeCell ref="AF635:AJ635"/>
    <mergeCell ref="CM645:CQ645"/>
    <mergeCell ref="DX632:EB632"/>
    <mergeCell ref="EC632:EG632"/>
    <mergeCell ref="DH614:DL614"/>
    <mergeCell ref="DM614:DQ614"/>
    <mergeCell ref="CX614:DB614"/>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BX645:CB645"/>
    <mergeCell ref="BX638:CB638"/>
    <mergeCell ref="BX637:CB637"/>
    <mergeCell ref="CH638:CL638"/>
    <mergeCell ref="CH640:CL640"/>
    <mergeCell ref="CM640:CQ640"/>
    <mergeCell ref="CM639:CQ639"/>
    <mergeCell ref="DX617:EB617"/>
    <mergeCell ref="EC617:EG617"/>
    <mergeCell ref="DC614:DG614"/>
    <mergeCell ref="EM619:EQ619"/>
    <mergeCell ref="ER619:EV619"/>
    <mergeCell ref="EC637:EG637"/>
    <mergeCell ref="DM631:DQ631"/>
    <mergeCell ref="DH631:DL631"/>
    <mergeCell ref="DM617:DQ617"/>
    <mergeCell ref="CC630:CG630"/>
    <mergeCell ref="BX632:CB632"/>
    <mergeCell ref="AK633:AN633"/>
    <mergeCell ref="EC609:EG609"/>
    <mergeCell ref="EH609:EL609"/>
    <mergeCell ref="EM609:EQ609"/>
    <mergeCell ref="EH641:EL641"/>
    <mergeCell ref="EM641:EQ641"/>
    <mergeCell ref="EH637:EL637"/>
    <mergeCell ref="DX612:EB612"/>
    <mergeCell ref="EC612:EG612"/>
    <mergeCell ref="EH612:EL612"/>
    <mergeCell ref="EM612:EQ612"/>
    <mergeCell ref="A617:AT618"/>
    <mergeCell ref="AK637:AN637"/>
    <mergeCell ref="AK638:AN638"/>
    <mergeCell ref="CM641:CQ641"/>
    <mergeCell ref="CC637:CG637"/>
    <mergeCell ref="BX641:CB641"/>
    <mergeCell ref="CC641:CG641"/>
    <mergeCell ref="CC639:CG639"/>
    <mergeCell ref="DC630:DG630"/>
    <mergeCell ref="CS630:CW630"/>
    <mergeCell ref="CX630:DB630"/>
    <mergeCell ref="CS631:CW631"/>
    <mergeCell ref="CX631:DB631"/>
    <mergeCell ref="BS637:BW637"/>
    <mergeCell ref="DM632:DQ632"/>
    <mergeCell ref="DC631:DG631"/>
    <mergeCell ref="ER609:EV609"/>
    <mergeCell ref="DM616:DQ616"/>
    <mergeCell ref="CS616:CW616"/>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CM647:CQ647"/>
    <mergeCell ref="CM646:CQ646"/>
    <mergeCell ref="BX647:CB647"/>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DM645:DQ645"/>
    <mergeCell ref="DR645:DV645"/>
    <mergeCell ref="CC645:CG645"/>
    <mergeCell ref="CH637:CL637"/>
    <mergeCell ref="CH641:CL641"/>
    <mergeCell ref="BS660:BW660"/>
    <mergeCell ref="BX653:CB653"/>
    <mergeCell ref="BX654:CB654"/>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DR655:DV655"/>
    <mergeCell ref="CS652:CW652"/>
    <mergeCell ref="CX652:DB652"/>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DR657:DV657"/>
    <mergeCell ref="AK728:AO728"/>
    <mergeCell ref="AK729:AO729"/>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AH732:AJ732"/>
    <mergeCell ref="AC729:AG729"/>
    <mergeCell ref="AH724:AJ724"/>
    <mergeCell ref="X724:AB724"/>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30:AO730"/>
    <mergeCell ref="X720:AB720"/>
    <mergeCell ref="AA680:AK680"/>
    <mergeCell ref="AH737:AJ737"/>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C733:AG733"/>
    <mergeCell ref="AC739:AG739"/>
    <mergeCell ref="G730:J730"/>
    <mergeCell ref="X730:AB730"/>
    <mergeCell ref="X731:AB731"/>
    <mergeCell ref="H688:R688"/>
    <mergeCell ref="AK727:AO727"/>
    <mergeCell ref="X734:AB734"/>
    <mergeCell ref="X733:AB733"/>
    <mergeCell ref="B719:F719"/>
    <mergeCell ref="B714:F717"/>
    <mergeCell ref="Z686:AK686"/>
    <mergeCell ref="G675:R675"/>
    <mergeCell ref="Z667:AK667"/>
    <mergeCell ref="AG689:AH689"/>
    <mergeCell ref="R705:T705"/>
    <mergeCell ref="W703:AK703"/>
    <mergeCell ref="G678:R678"/>
    <mergeCell ref="P679:R679"/>
    <mergeCell ref="Z676:AK676"/>
    <mergeCell ref="AI687:AK687"/>
    <mergeCell ref="AE696:AI696"/>
    <mergeCell ref="K718:N718"/>
    <mergeCell ref="K719:N719"/>
    <mergeCell ref="G718:J718"/>
    <mergeCell ref="AH719:AJ719"/>
    <mergeCell ref="A709:AT711"/>
    <mergeCell ref="W700:AK700"/>
    <mergeCell ref="Z683:AK683"/>
    <mergeCell ref="Z675:AK675"/>
    <mergeCell ref="AE702:AF702"/>
    <mergeCell ref="AE693:AF693"/>
    <mergeCell ref="AE694:AF694"/>
    <mergeCell ref="T714:W717"/>
    <mergeCell ref="O719:S719"/>
    <mergeCell ref="M636:P636"/>
    <mergeCell ref="M637:P637"/>
    <mergeCell ref="M638:P638"/>
    <mergeCell ref="C628:L628"/>
    <mergeCell ref="Z636:AB636"/>
    <mergeCell ref="Z637:AB637"/>
    <mergeCell ref="Z638:AB638"/>
    <mergeCell ref="W627:Y627"/>
    <mergeCell ref="AK726:AO726"/>
    <mergeCell ref="G655:L655"/>
    <mergeCell ref="T627:V627"/>
    <mergeCell ref="Z624:AB626"/>
    <mergeCell ref="Z627:AB627"/>
    <mergeCell ref="T628:V628"/>
    <mergeCell ref="AK722:AO722"/>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G676:R676"/>
    <mergeCell ref="AG649:AH649"/>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A351:AT35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565:P565"/>
    <mergeCell ref="B624:L626"/>
    <mergeCell ref="Q627:S627"/>
    <mergeCell ref="Q628:S628"/>
    <mergeCell ref="Q629:S629"/>
    <mergeCell ref="Q630:S630"/>
    <mergeCell ref="Q631:S631"/>
    <mergeCell ref="Q632:S632"/>
    <mergeCell ref="Q633:S633"/>
    <mergeCell ref="Q634:S634"/>
    <mergeCell ref="Q635:S635"/>
    <mergeCell ref="Z593:AK593"/>
    <mergeCell ref="AK629:AN629"/>
    <mergeCell ref="C633:L633"/>
    <mergeCell ref="C634:L634"/>
    <mergeCell ref="M624:P626"/>
    <mergeCell ref="M627:P627"/>
    <mergeCell ref="M628:P628"/>
    <mergeCell ref="M629:P629"/>
    <mergeCell ref="M630:P630"/>
    <mergeCell ref="M631:P631"/>
    <mergeCell ref="M632:P632"/>
    <mergeCell ref="M633:P633"/>
    <mergeCell ref="M634:P634"/>
    <mergeCell ref="M635:P635"/>
    <mergeCell ref="AC624:AE626"/>
    <mergeCell ref="AF627:AJ627"/>
    <mergeCell ref="AG607:AH607"/>
    <mergeCell ref="AO635:AS635"/>
    <mergeCell ref="AK634:AN634"/>
    <mergeCell ref="AK635:AN635"/>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T743:W743"/>
    <mergeCell ref="K744:N744"/>
    <mergeCell ref="O744:S744"/>
    <mergeCell ref="AK737:AO737"/>
    <mergeCell ref="AK738:AO738"/>
    <mergeCell ref="B749:F749"/>
    <mergeCell ref="B750:F750"/>
    <mergeCell ref="B751:F751"/>
    <mergeCell ref="D989:Q989"/>
    <mergeCell ref="T735:W735"/>
    <mergeCell ref="D994:AE997"/>
    <mergeCell ref="D998:AE998"/>
    <mergeCell ref="D987:Q987"/>
    <mergeCell ref="D988:Q988"/>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AC748:AG748"/>
    <mergeCell ref="AC749:AG749"/>
    <mergeCell ref="AC750:AG750"/>
    <mergeCell ref="AC751:AG751"/>
    <mergeCell ref="O776:S776"/>
    <mergeCell ref="O769:S772"/>
    <mergeCell ref="AK740:AO740"/>
    <mergeCell ref="AK741:AO741"/>
    <mergeCell ref="AK752:AO752"/>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J984:AQ984"/>
    <mergeCell ref="AB988:AI988"/>
    <mergeCell ref="AB989:AI989"/>
    <mergeCell ref="R984:AA984"/>
    <mergeCell ref="D1024:AE1024"/>
    <mergeCell ref="AA948:AF948"/>
    <mergeCell ref="U940:Z940"/>
    <mergeCell ref="M970:S970"/>
    <mergeCell ref="B746:F746"/>
    <mergeCell ref="B747:F747"/>
    <mergeCell ref="B748:F748"/>
    <mergeCell ref="AG1024:AH1024"/>
    <mergeCell ref="AF1025:AI1025"/>
    <mergeCell ref="AJ1012:AQ1014"/>
    <mergeCell ref="AJ1015:AQ1018"/>
    <mergeCell ref="AJ1024:AQ1027"/>
    <mergeCell ref="AJ1028:AQ1030"/>
    <mergeCell ref="B742:F742"/>
    <mergeCell ref="B743:F743"/>
    <mergeCell ref="B744:F744"/>
    <mergeCell ref="B745:F745"/>
    <mergeCell ref="D1031:AE1031"/>
    <mergeCell ref="J956:S956"/>
    <mergeCell ref="A978:AT980"/>
    <mergeCell ref="U924:Z924"/>
    <mergeCell ref="AA934:AF934"/>
    <mergeCell ref="AA917:AF917"/>
    <mergeCell ref="AA967:AG967"/>
    <mergeCell ref="AE954:AK954"/>
    <mergeCell ref="I949:T949"/>
    <mergeCell ref="AA942:AF942"/>
    <mergeCell ref="F915:T916"/>
    <mergeCell ref="AA930:AF930"/>
    <mergeCell ref="U931:Z931"/>
    <mergeCell ref="AA931:AF931"/>
    <mergeCell ref="F937:T937"/>
    <mergeCell ref="F938:T9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 zoomScale="119" workbookViewId="0">
      <selection activeCell="T45" sqref="T4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1)Citibank Conventional Perm Loan</v>
      </c>
      <c r="G2" s="139" t="str">
        <f>Application!B628&amp;Application!C628</f>
        <v>2)HCD Housing Development Fund</v>
      </c>
      <c r="H2" s="139" t="str">
        <f>Application!B629&amp;Application!C629</f>
        <v>3)TBD Gap Financing</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4425000</v>
      </c>
      <c r="C4" s="147">
        <v>4425000</v>
      </c>
      <c r="D4" s="147"/>
      <c r="E4" s="147">
        <f>B4-SUM(F4:Q4)</f>
        <v>1425000</v>
      </c>
      <c r="F4" s="147"/>
      <c r="G4" s="147">
        <v>3000000</v>
      </c>
      <c r="H4" s="147"/>
      <c r="I4" s="147"/>
      <c r="J4" s="147"/>
      <c r="K4" s="147"/>
      <c r="L4" s="147"/>
      <c r="M4" s="147"/>
      <c r="N4" s="147"/>
      <c r="O4" s="147"/>
      <c r="P4" s="147"/>
      <c r="Q4" s="147"/>
      <c r="R4" s="550">
        <f>SUM(E4:Q4)</f>
        <v>4425000</v>
      </c>
      <c r="S4" s="148"/>
      <c r="T4" s="148"/>
      <c r="U4" s="143"/>
    </row>
    <row r="5" spans="1:21" s="144" customFormat="1" ht="13">
      <c r="A5" s="145" t="s">
        <v>28</v>
      </c>
      <c r="B5" s="146">
        <f>SUM(C5+D5)</f>
        <v>300000</v>
      </c>
      <c r="C5" s="147">
        <v>300000</v>
      </c>
      <c r="D5" s="147"/>
      <c r="E5" s="147">
        <f>B5-SUM(F5:Q5)</f>
        <v>300000</v>
      </c>
      <c r="F5" s="147"/>
      <c r="G5" s="147"/>
      <c r="H5" s="147"/>
      <c r="I5" s="147"/>
      <c r="J5" s="147"/>
      <c r="K5" s="147"/>
      <c r="L5" s="147"/>
      <c r="M5" s="147"/>
      <c r="N5" s="147"/>
      <c r="O5" s="147"/>
      <c r="P5" s="147"/>
      <c r="Q5" s="147"/>
      <c r="R5" s="550">
        <f>SUM(E5:Q5)</f>
        <v>300000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4725000</v>
      </c>
      <c r="C8" s="146">
        <f t="shared" ref="C8:Q8" si="0">SUM(C4:C7)</f>
        <v>4725000</v>
      </c>
      <c r="D8" s="146">
        <f t="shared" si="0"/>
        <v>0</v>
      </c>
      <c r="E8" s="146">
        <f t="shared" si="0"/>
        <v>1725000</v>
      </c>
      <c r="F8" s="146">
        <f t="shared" si="0"/>
        <v>0</v>
      </c>
      <c r="G8" s="146">
        <f t="shared" si="0"/>
        <v>3000000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4725000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125000</v>
      </c>
      <c r="C10" s="147">
        <v>125000</v>
      </c>
      <c r="D10" s="147"/>
      <c r="E10" s="147">
        <f>B10-SUM(F10:Q10)</f>
        <v>125000</v>
      </c>
      <c r="F10" s="147"/>
      <c r="G10" s="147"/>
      <c r="H10" s="147"/>
      <c r="I10" s="147"/>
      <c r="J10" s="147"/>
      <c r="K10" s="147"/>
      <c r="L10" s="147"/>
      <c r="M10" s="147"/>
      <c r="N10" s="147"/>
      <c r="O10" s="147"/>
      <c r="P10" s="147"/>
      <c r="Q10" s="147"/>
      <c r="R10" s="550">
        <f>SUM(E10:Q10)</f>
        <v>125000</v>
      </c>
      <c r="S10" s="147">
        <f>C10</f>
        <v>125000</v>
      </c>
      <c r="T10" s="147"/>
      <c r="U10" s="143"/>
    </row>
    <row r="11" spans="1:21" s="144" customFormat="1" ht="13">
      <c r="A11" s="149" t="s">
        <v>604</v>
      </c>
      <c r="B11" s="146">
        <f>SUM(C11:D11)</f>
        <v>125000</v>
      </c>
      <c r="C11" s="146">
        <f t="shared" ref="C11:Q11" si="1">SUM(C9:C10)</f>
        <v>125000</v>
      </c>
      <c r="D11" s="146">
        <f t="shared" si="1"/>
        <v>0</v>
      </c>
      <c r="E11" s="146">
        <f t="shared" si="1"/>
        <v>125000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125000</v>
      </c>
      <c r="S11" s="148"/>
      <c r="T11" s="150">
        <f>SUM(T9:T10)</f>
        <v>0</v>
      </c>
      <c r="U11" s="143"/>
    </row>
    <row r="12" spans="1:21" s="144" customFormat="1" ht="13">
      <c r="A12" s="149" t="s">
        <v>84</v>
      </c>
      <c r="B12" s="146">
        <f t="shared" ref="B12:Q12" si="2">SUM(B8+B11)</f>
        <v>4850000</v>
      </c>
      <c r="C12" s="146">
        <f t="shared" si="2"/>
        <v>4850000</v>
      </c>
      <c r="D12" s="146">
        <f t="shared" si="2"/>
        <v>0</v>
      </c>
      <c r="E12" s="146">
        <f t="shared" si="2"/>
        <v>1850000</v>
      </c>
      <c r="F12" s="146">
        <f t="shared" si="2"/>
        <v>0</v>
      </c>
      <c r="G12" s="146">
        <f t="shared" si="2"/>
        <v>3000000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4850000</v>
      </c>
      <c r="S12" s="148"/>
      <c r="T12" s="148"/>
      <c r="U12" s="143"/>
    </row>
    <row r="13" spans="1:21" s="144" customFormat="1">
      <c r="A13" s="309" t="s">
        <v>917</v>
      </c>
      <c r="B13" s="146">
        <f>SUM(C13+D13)</f>
        <v>216490</v>
      </c>
      <c r="C13" s="147">
        <f>58000+158490</f>
        <v>216490</v>
      </c>
      <c r="D13" s="147"/>
      <c r="E13" s="147">
        <f>B13-SUM(F13:Q13)</f>
        <v>216490</v>
      </c>
      <c r="F13" s="147"/>
      <c r="G13" s="147"/>
      <c r="H13" s="147"/>
      <c r="I13" s="147"/>
      <c r="J13" s="147"/>
      <c r="K13" s="147"/>
      <c r="L13" s="147"/>
      <c r="M13" s="147"/>
      <c r="N13" s="147"/>
      <c r="O13" s="147"/>
      <c r="P13" s="147"/>
      <c r="Q13" s="147"/>
      <c r="R13" s="550">
        <f>SUM(E13:Q13)</f>
        <v>216490</v>
      </c>
      <c r="S13" s="147">
        <f>158490</f>
        <v>158490</v>
      </c>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1230000</v>
      </c>
      <c r="C29" s="147">
        <v>1230000</v>
      </c>
      <c r="D29" s="147"/>
      <c r="E29" s="147">
        <f t="shared" ref="E29:E37" si="7">B29-SUM(F29:Q29)</f>
        <v>1230000</v>
      </c>
      <c r="F29" s="147"/>
      <c r="G29" s="147"/>
      <c r="H29" s="147"/>
      <c r="I29" s="147"/>
      <c r="J29" s="147"/>
      <c r="K29" s="147"/>
      <c r="L29" s="147"/>
      <c r="M29" s="147"/>
      <c r="N29" s="147"/>
      <c r="O29" s="147"/>
      <c r="P29" s="147"/>
      <c r="Q29" s="147"/>
      <c r="R29" s="550">
        <f t="shared" ref="R29:R37" si="8">SUM(E29:Q29)</f>
        <v>1230000</v>
      </c>
      <c r="S29" s="147">
        <f t="shared" ref="S29:S37" si="9">C29</f>
        <v>1230000</v>
      </c>
      <c r="T29" s="147"/>
      <c r="U29" s="143"/>
    </row>
    <row r="30" spans="1:21" s="144" customFormat="1" ht="13">
      <c r="A30" s="145" t="s">
        <v>607</v>
      </c>
      <c r="B30" s="146">
        <f t="shared" si="6"/>
        <v>25212200</v>
      </c>
      <c r="C30" s="147">
        <f>24556200+656000</f>
        <v>25212200</v>
      </c>
      <c r="D30" s="147"/>
      <c r="E30" s="147">
        <f t="shared" si="7"/>
        <v>10405671</v>
      </c>
      <c r="F30" s="147">
        <v>8277000</v>
      </c>
      <c r="G30" s="147"/>
      <c r="H30" s="147">
        <v>6529529</v>
      </c>
      <c r="I30" s="147"/>
      <c r="J30" s="147"/>
      <c r="K30" s="147"/>
      <c r="L30" s="147"/>
      <c r="M30" s="147"/>
      <c r="N30" s="147"/>
      <c r="O30" s="147"/>
      <c r="P30" s="147"/>
      <c r="Q30" s="147"/>
      <c r="R30" s="550">
        <f t="shared" si="8"/>
        <v>25212200</v>
      </c>
      <c r="S30" s="147">
        <f t="shared" si="9"/>
        <v>25212200</v>
      </c>
      <c r="T30" s="147"/>
      <c r="U30" s="143"/>
    </row>
    <row r="31" spans="1:21" s="144" customFormat="1" ht="13">
      <c r="A31" s="145" t="s">
        <v>608</v>
      </c>
      <c r="B31" s="146">
        <f t="shared" si="6"/>
        <v>1343360</v>
      </c>
      <c r="C31" s="147">
        <v>1343360</v>
      </c>
      <c r="D31" s="147"/>
      <c r="E31" s="147">
        <f t="shared" si="7"/>
        <v>1343360</v>
      </c>
      <c r="F31" s="147"/>
      <c r="G31" s="147"/>
      <c r="H31" s="147"/>
      <c r="I31" s="147"/>
      <c r="J31" s="147"/>
      <c r="K31" s="147"/>
      <c r="L31" s="147"/>
      <c r="M31" s="147"/>
      <c r="N31" s="147"/>
      <c r="O31" s="147"/>
      <c r="P31" s="147"/>
      <c r="Q31" s="147"/>
      <c r="R31" s="550">
        <f t="shared" si="8"/>
        <v>1343360</v>
      </c>
      <c r="S31" s="147">
        <f t="shared" si="9"/>
        <v>1343360</v>
      </c>
      <c r="T31" s="147"/>
      <c r="U31" s="143"/>
    </row>
    <row r="32" spans="1:21" s="144" customFormat="1" ht="13">
      <c r="A32" s="145" t="s">
        <v>137</v>
      </c>
      <c r="B32" s="146">
        <f t="shared" si="6"/>
        <v>1209024</v>
      </c>
      <c r="C32" s="147">
        <f>2418048/2</f>
        <v>1209024</v>
      </c>
      <c r="D32" s="147"/>
      <c r="E32" s="147">
        <f t="shared" si="7"/>
        <v>1209024</v>
      </c>
      <c r="F32" s="147"/>
      <c r="G32" s="147"/>
      <c r="H32" s="147"/>
      <c r="I32" s="147"/>
      <c r="J32" s="147"/>
      <c r="K32" s="147"/>
      <c r="L32" s="147"/>
      <c r="M32" s="147"/>
      <c r="N32" s="147"/>
      <c r="O32" s="147"/>
      <c r="P32" s="147"/>
      <c r="Q32" s="147"/>
      <c r="R32" s="550">
        <f t="shared" si="8"/>
        <v>1209024</v>
      </c>
      <c r="S32" s="147">
        <f t="shared" si="9"/>
        <v>1209024</v>
      </c>
      <c r="T32" s="147"/>
      <c r="U32" s="143"/>
    </row>
    <row r="33" spans="1:21" s="144" customFormat="1" ht="13">
      <c r="A33" s="145" t="s">
        <v>138</v>
      </c>
      <c r="B33" s="146">
        <f t="shared" si="6"/>
        <v>1209024</v>
      </c>
      <c r="C33" s="147">
        <f>C32</f>
        <v>1209024</v>
      </c>
      <c r="D33" s="147"/>
      <c r="E33" s="147">
        <f t="shared" si="7"/>
        <v>1209024</v>
      </c>
      <c r="F33" s="147"/>
      <c r="G33" s="147"/>
      <c r="H33" s="147"/>
      <c r="I33" s="147"/>
      <c r="J33" s="147"/>
      <c r="K33" s="147"/>
      <c r="L33" s="147"/>
      <c r="M33" s="147"/>
      <c r="N33" s="147"/>
      <c r="O33" s="147"/>
      <c r="P33" s="147"/>
      <c r="Q33" s="147"/>
      <c r="R33" s="550">
        <f t="shared" si="8"/>
        <v>1209024</v>
      </c>
      <c r="S33" s="147">
        <f t="shared" si="9"/>
        <v>1209024</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ht="13">
      <c r="A35" s="145" t="s">
        <v>140</v>
      </c>
      <c r="B35" s="146">
        <f t="shared" si="6"/>
        <v>1221754</v>
      </c>
      <c r="C35" s="147">
        <f>875157+346597</f>
        <v>1221754</v>
      </c>
      <c r="D35" s="147"/>
      <c r="E35" s="147">
        <f t="shared" si="7"/>
        <v>1221754</v>
      </c>
      <c r="F35" s="147"/>
      <c r="G35" s="147"/>
      <c r="H35" s="147"/>
      <c r="I35" s="147"/>
      <c r="J35" s="147"/>
      <c r="K35" s="147"/>
      <c r="L35" s="147"/>
      <c r="M35" s="147"/>
      <c r="N35" s="147"/>
      <c r="O35" s="147"/>
      <c r="P35" s="147"/>
      <c r="Q35" s="147"/>
      <c r="R35" s="550">
        <f t="shared" si="8"/>
        <v>1221754</v>
      </c>
      <c r="S35" s="147">
        <f t="shared" si="9"/>
        <v>1221754</v>
      </c>
      <c r="T35" s="147"/>
      <c r="U35" s="143"/>
    </row>
    <row r="36" spans="1:21" s="144" customFormat="1" ht="13">
      <c r="A36" s="304" t="s">
        <v>1753</v>
      </c>
      <c r="B36" s="146">
        <f t="shared" si="6"/>
        <v>192000</v>
      </c>
      <c r="C36" s="147">
        <v>192000</v>
      </c>
      <c r="D36" s="147"/>
      <c r="E36" s="147">
        <f t="shared" si="7"/>
        <v>192000</v>
      </c>
      <c r="F36" s="147"/>
      <c r="G36" s="147"/>
      <c r="H36" s="147"/>
      <c r="I36" s="147"/>
      <c r="J36" s="147"/>
      <c r="K36" s="147"/>
      <c r="L36" s="147"/>
      <c r="M36" s="147"/>
      <c r="N36" s="147"/>
      <c r="O36" s="147"/>
      <c r="P36" s="147"/>
      <c r="Q36" s="147"/>
      <c r="R36" s="550">
        <f t="shared" si="8"/>
        <v>192000</v>
      </c>
      <c r="S36" s="147">
        <f t="shared" si="9"/>
        <v>192000</v>
      </c>
      <c r="T36" s="147"/>
      <c r="U36" s="143"/>
    </row>
    <row r="37" spans="1:21" s="144" customFormat="1" ht="13">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f t="shared" si="9"/>
        <v>0</v>
      </c>
      <c r="T37" s="147"/>
      <c r="U37" s="143"/>
    </row>
    <row r="38" spans="1:21" s="144" customFormat="1" ht="13">
      <c r="A38" s="149" t="s">
        <v>143</v>
      </c>
      <c r="B38" s="146">
        <f t="shared" si="6"/>
        <v>31617362</v>
      </c>
      <c r="C38" s="146">
        <f>SUM(C29:C37)</f>
        <v>31617362</v>
      </c>
      <c r="D38" s="146">
        <f t="shared" ref="D38:Q38" si="10">SUM(D29:D37)</f>
        <v>0</v>
      </c>
      <c r="E38" s="146">
        <f t="shared" si="10"/>
        <v>16810833</v>
      </c>
      <c r="F38" s="146">
        <f t="shared" si="10"/>
        <v>8277000</v>
      </c>
      <c r="G38" s="146">
        <f t="shared" si="10"/>
        <v>0</v>
      </c>
      <c r="H38" s="146">
        <f t="shared" si="10"/>
        <v>6529529</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31617362</v>
      </c>
      <c r="S38" s="150">
        <f>SUM(S29:S37)</f>
        <v>31617362</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2500000</v>
      </c>
      <c r="C40" s="147">
        <v>2500000</v>
      </c>
      <c r="D40" s="147"/>
      <c r="E40" s="147">
        <f t="shared" ref="E40:E41" si="11">B40-SUM(F40:Q40)</f>
        <v>2500000</v>
      </c>
      <c r="F40" s="147"/>
      <c r="G40" s="147"/>
      <c r="H40" s="147"/>
      <c r="I40" s="147"/>
      <c r="J40" s="147"/>
      <c r="K40" s="147"/>
      <c r="L40" s="147"/>
      <c r="M40" s="147"/>
      <c r="N40" s="147"/>
      <c r="O40" s="147"/>
      <c r="P40" s="147"/>
      <c r="Q40" s="147"/>
      <c r="R40" s="550">
        <f>SUM(E40:Q40)</f>
        <v>2500000</v>
      </c>
      <c r="S40" s="147">
        <f t="shared" ref="S40:S43" si="12">C40</f>
        <v>2500000</v>
      </c>
      <c r="T40" s="147"/>
      <c r="U40" s="143"/>
    </row>
    <row r="41" spans="1:21" s="144" customFormat="1" ht="13">
      <c r="A41" s="145" t="s">
        <v>146</v>
      </c>
      <c r="B41" s="146">
        <f>SUM(C41+D41)</f>
        <v>240000</v>
      </c>
      <c r="C41" s="147">
        <v>240000</v>
      </c>
      <c r="D41" s="147"/>
      <c r="E41" s="147">
        <f t="shared" si="11"/>
        <v>240000</v>
      </c>
      <c r="F41" s="147"/>
      <c r="G41" s="147"/>
      <c r="H41" s="147"/>
      <c r="I41" s="147"/>
      <c r="J41" s="147"/>
      <c r="K41" s="147"/>
      <c r="L41" s="147"/>
      <c r="M41" s="147"/>
      <c r="N41" s="147"/>
      <c r="O41" s="147"/>
      <c r="P41" s="147"/>
      <c r="Q41" s="147"/>
      <c r="R41" s="550">
        <f>SUM(E41:Q41)</f>
        <v>240000</v>
      </c>
      <c r="S41" s="147">
        <f t="shared" si="12"/>
        <v>240000</v>
      </c>
      <c r="T41" s="147"/>
      <c r="U41" s="143"/>
    </row>
    <row r="42" spans="1:21" s="144" customFormat="1" ht="13">
      <c r="A42" s="149" t="s">
        <v>147</v>
      </c>
      <c r="B42" s="146">
        <f>SUM(C42:D42)</f>
        <v>2740000</v>
      </c>
      <c r="C42" s="146">
        <f>SUM(C39:C41)</f>
        <v>2740000</v>
      </c>
      <c r="D42" s="146">
        <f>SUM(D39:D41)</f>
        <v>0</v>
      </c>
      <c r="E42" s="146">
        <f t="shared" ref="E42:T42" si="13">SUM(E40:E41)</f>
        <v>2740000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2740000</v>
      </c>
      <c r="S42" s="150">
        <f t="shared" si="13"/>
        <v>2740000</v>
      </c>
      <c r="T42" s="150">
        <f t="shared" si="13"/>
        <v>0</v>
      </c>
      <c r="U42" s="143"/>
    </row>
    <row r="43" spans="1:21" s="144" customFormat="1" ht="13">
      <c r="A43" s="149" t="s">
        <v>148</v>
      </c>
      <c r="B43" s="146">
        <f>SUM(C43:D43)</f>
        <v>350000</v>
      </c>
      <c r="C43" s="147">
        <f>300000+50000</f>
        <v>350000</v>
      </c>
      <c r="D43" s="147"/>
      <c r="E43" s="147">
        <f>B43-SUM(F43:Q43)</f>
        <v>350000</v>
      </c>
      <c r="F43" s="147"/>
      <c r="G43" s="147"/>
      <c r="H43" s="147"/>
      <c r="I43" s="147"/>
      <c r="J43" s="147"/>
      <c r="K43" s="147"/>
      <c r="L43" s="147"/>
      <c r="M43" s="147"/>
      <c r="N43" s="147"/>
      <c r="O43" s="147"/>
      <c r="P43" s="147"/>
      <c r="Q43" s="147"/>
      <c r="R43" s="550">
        <f>SUM(E43:Q43)</f>
        <v>350000</v>
      </c>
      <c r="S43" s="147">
        <f t="shared" si="12"/>
        <v>350000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4">SUM(C45+D45)</f>
        <v>5286748</v>
      </c>
      <c r="C45" s="147">
        <f>3716072+789876+780800</f>
        <v>5286748</v>
      </c>
      <c r="D45" s="147"/>
      <c r="E45" s="147">
        <f t="shared" ref="E45:E53" si="15">B45-SUM(F45:Q45)</f>
        <v>5286748</v>
      </c>
      <c r="F45" s="147"/>
      <c r="G45" s="147"/>
      <c r="H45" s="147"/>
      <c r="I45" s="147"/>
      <c r="J45" s="147"/>
      <c r="K45" s="147"/>
      <c r="L45" s="147"/>
      <c r="M45" s="147"/>
      <c r="N45" s="147"/>
      <c r="O45" s="147"/>
      <c r="P45" s="147"/>
      <c r="Q45" s="147"/>
      <c r="R45" s="550">
        <f t="shared" ref="R45:R53" si="16">SUM(E45:Q45)</f>
        <v>5286748</v>
      </c>
      <c r="S45" s="147">
        <f>2462457+236963+610000</f>
        <v>3309420</v>
      </c>
      <c r="T45" s="147"/>
      <c r="U45" s="143"/>
    </row>
    <row r="46" spans="1:21" s="144" customFormat="1" ht="13">
      <c r="A46" s="145" t="s">
        <v>151</v>
      </c>
      <c r="B46" s="146">
        <f t="shared" si="14"/>
        <v>293587</v>
      </c>
      <c r="C46" s="147">
        <v>293587</v>
      </c>
      <c r="D46" s="147"/>
      <c r="E46" s="147">
        <f t="shared" si="15"/>
        <v>293587</v>
      </c>
      <c r="F46" s="147"/>
      <c r="G46" s="147"/>
      <c r="H46" s="147"/>
      <c r="I46" s="147"/>
      <c r="J46" s="147"/>
      <c r="K46" s="147"/>
      <c r="L46" s="147"/>
      <c r="M46" s="147"/>
      <c r="N46" s="147"/>
      <c r="O46" s="147"/>
      <c r="P46" s="147"/>
      <c r="Q46" s="147"/>
      <c r="R46" s="550">
        <f t="shared" si="16"/>
        <v>293587</v>
      </c>
      <c r="S46" s="147">
        <v>176393</v>
      </c>
      <c r="T46" s="147"/>
      <c r="U46" s="143"/>
    </row>
    <row r="47" spans="1:21" s="144" customFormat="1">
      <c r="A47" s="198" t="s">
        <v>152</v>
      </c>
      <c r="B47" s="146">
        <f t="shared" si="14"/>
        <v>42500</v>
      </c>
      <c r="C47" s="147">
        <f>2500+40000</f>
        <v>42500</v>
      </c>
      <c r="D47" s="147"/>
      <c r="E47" s="147">
        <f t="shared" si="15"/>
        <v>42500</v>
      </c>
      <c r="F47" s="147"/>
      <c r="G47" s="147"/>
      <c r="H47" s="147"/>
      <c r="I47" s="147"/>
      <c r="J47" s="147"/>
      <c r="K47" s="147"/>
      <c r="L47" s="147"/>
      <c r="M47" s="147"/>
      <c r="N47" s="147"/>
      <c r="O47" s="147"/>
      <c r="P47" s="147"/>
      <c r="Q47" s="147"/>
      <c r="R47" s="550">
        <f t="shared" si="16"/>
        <v>42500</v>
      </c>
      <c r="S47" s="147">
        <f>26506+484</f>
        <v>26990</v>
      </c>
      <c r="T47" s="147"/>
      <c r="U47" s="143"/>
    </row>
    <row r="48" spans="1:21" s="144" customFormat="1" ht="13">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f t="shared" ref="S48:S52" si="17">C48</f>
        <v>0</v>
      </c>
      <c r="T48" s="147"/>
      <c r="U48" s="143"/>
    </row>
    <row r="49" spans="1:21" s="144" customFormat="1" ht="13">
      <c r="A49" s="145" t="s">
        <v>57</v>
      </c>
      <c r="B49" s="146">
        <f t="shared" si="14"/>
        <v>100320</v>
      </c>
      <c r="C49" s="147">
        <f>58440+41880</f>
        <v>100320</v>
      </c>
      <c r="D49" s="147"/>
      <c r="E49" s="147">
        <f t="shared" si="15"/>
        <v>100320</v>
      </c>
      <c r="F49" s="147"/>
      <c r="G49" s="147"/>
      <c r="H49" s="147"/>
      <c r="I49" s="147"/>
      <c r="J49" s="147"/>
      <c r="K49" s="147"/>
      <c r="L49" s="147"/>
      <c r="M49" s="147"/>
      <c r="N49" s="147"/>
      <c r="O49" s="147"/>
      <c r="P49" s="147"/>
      <c r="Q49" s="147"/>
      <c r="R49" s="550">
        <f t="shared" si="16"/>
        <v>100320</v>
      </c>
      <c r="S49" s="147">
        <f>11306+8102</f>
        <v>19408</v>
      </c>
      <c r="T49" s="147"/>
      <c r="U49" s="143"/>
    </row>
    <row r="50" spans="1:21" s="144" customFormat="1" ht="13">
      <c r="A50" s="145" t="s">
        <v>156</v>
      </c>
      <c r="B50" s="146">
        <f t="shared" si="14"/>
        <v>120000</v>
      </c>
      <c r="C50" s="147">
        <v>120000</v>
      </c>
      <c r="D50" s="147"/>
      <c r="E50" s="147">
        <f t="shared" si="15"/>
        <v>120000</v>
      </c>
      <c r="F50" s="147"/>
      <c r="G50" s="147"/>
      <c r="H50" s="147"/>
      <c r="I50" s="147"/>
      <c r="J50" s="147"/>
      <c r="K50" s="147"/>
      <c r="L50" s="147"/>
      <c r="M50" s="147"/>
      <c r="N50" s="147"/>
      <c r="O50" s="147"/>
      <c r="P50" s="147"/>
      <c r="Q50" s="147"/>
      <c r="R50" s="550">
        <f t="shared" si="16"/>
        <v>120000</v>
      </c>
      <c r="S50" s="147">
        <f t="shared" si="17"/>
        <v>120000</v>
      </c>
      <c r="T50" s="147"/>
      <c r="U50" s="143"/>
    </row>
    <row r="51" spans="1:21" s="144" customFormat="1" ht="13">
      <c r="A51" s="304" t="s">
        <v>154</v>
      </c>
      <c r="B51" s="146">
        <f t="shared" si="14"/>
        <v>52369</v>
      </c>
      <c r="C51" s="147">
        <v>52369</v>
      </c>
      <c r="D51" s="147"/>
      <c r="E51" s="147">
        <f t="shared" si="15"/>
        <v>52369</v>
      </c>
      <c r="F51" s="147"/>
      <c r="G51" s="147"/>
      <c r="H51" s="147"/>
      <c r="I51" s="147"/>
      <c r="J51" s="147"/>
      <c r="K51" s="147"/>
      <c r="L51" s="147"/>
      <c r="M51" s="147"/>
      <c r="N51" s="147"/>
      <c r="O51" s="147"/>
      <c r="P51" s="147"/>
      <c r="Q51" s="147"/>
      <c r="R51" s="550">
        <f t="shared" si="16"/>
        <v>52369</v>
      </c>
      <c r="S51" s="147">
        <f t="shared" si="17"/>
        <v>52369</v>
      </c>
      <c r="T51" s="147"/>
      <c r="U51" s="143"/>
    </row>
    <row r="52" spans="1:21" s="144" customFormat="1" ht="13">
      <c r="A52" s="145" t="s">
        <v>155</v>
      </c>
      <c r="B52" s="146">
        <f t="shared" si="14"/>
        <v>1131564</v>
      </c>
      <c r="C52" s="147">
        <v>1131564</v>
      </c>
      <c r="D52" s="147"/>
      <c r="E52" s="147">
        <f t="shared" si="15"/>
        <v>1131564</v>
      </c>
      <c r="F52" s="147"/>
      <c r="G52" s="147"/>
      <c r="H52" s="147"/>
      <c r="I52" s="147"/>
      <c r="J52" s="147"/>
      <c r="K52" s="147"/>
      <c r="L52" s="147"/>
      <c r="M52" s="147"/>
      <c r="N52" s="147"/>
      <c r="O52" s="147"/>
      <c r="P52" s="147"/>
      <c r="Q52" s="147"/>
      <c r="R52" s="550">
        <f t="shared" si="16"/>
        <v>1131564</v>
      </c>
      <c r="S52" s="147">
        <f t="shared" si="17"/>
        <v>1131564</v>
      </c>
      <c r="T52" s="147"/>
      <c r="U52" s="143"/>
    </row>
    <row r="53" spans="1:21" s="144" customFormat="1" ht="13">
      <c r="A53" s="1193" t="s">
        <v>2727</v>
      </c>
      <c r="B53" s="146">
        <f t="shared" si="14"/>
        <v>133000</v>
      </c>
      <c r="C53" s="147">
        <f>65000+35000+25000+8000</f>
        <v>133000</v>
      </c>
      <c r="D53" s="147"/>
      <c r="E53" s="147">
        <f t="shared" si="15"/>
        <v>133000</v>
      </c>
      <c r="F53" s="147"/>
      <c r="G53" s="147"/>
      <c r="H53" s="147"/>
      <c r="I53" s="147"/>
      <c r="J53" s="147"/>
      <c r="K53" s="147"/>
      <c r="L53" s="147"/>
      <c r="M53" s="147"/>
      <c r="N53" s="147"/>
      <c r="O53" s="147"/>
      <c r="P53" s="147"/>
      <c r="Q53" s="147"/>
      <c r="R53" s="550">
        <f t="shared" si="16"/>
        <v>133000</v>
      </c>
      <c r="S53" s="147">
        <f>39053+21029+15021+1548</f>
        <v>76651</v>
      </c>
      <c r="T53" s="147"/>
      <c r="U53" s="143"/>
    </row>
    <row r="54" spans="1:21" s="153" customFormat="1" ht="13">
      <c r="A54" s="149" t="s">
        <v>157</v>
      </c>
      <c r="B54" s="150">
        <f>SUM(C54:D54)</f>
        <v>7160088</v>
      </c>
      <c r="C54" s="150">
        <f t="shared" ref="C54:T54" si="18">SUM(C45:C53)</f>
        <v>7160088</v>
      </c>
      <c r="D54" s="150">
        <f t="shared" si="18"/>
        <v>0</v>
      </c>
      <c r="E54" s="150">
        <f t="shared" si="18"/>
        <v>7160088</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7160088</v>
      </c>
      <c r="S54" s="150">
        <f t="shared" si="18"/>
        <v>4912795</v>
      </c>
      <c r="T54" s="150">
        <f t="shared" si="18"/>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9">SUM(C56+D56)</f>
        <v>82770</v>
      </c>
      <c r="C56" s="147">
        <v>82770</v>
      </c>
      <c r="D56" s="147"/>
      <c r="E56" s="147">
        <f t="shared" ref="E56:E61" si="20">B56-SUM(F56:Q56)</f>
        <v>82770</v>
      </c>
      <c r="F56" s="147"/>
      <c r="G56" s="147"/>
      <c r="H56" s="147"/>
      <c r="I56" s="147"/>
      <c r="J56" s="147"/>
      <c r="K56" s="147"/>
      <c r="L56" s="147"/>
      <c r="M56" s="147"/>
      <c r="N56" s="147"/>
      <c r="O56" s="147"/>
      <c r="P56" s="147"/>
      <c r="Q56" s="147"/>
      <c r="R56" s="550">
        <f t="shared" ref="R56:R61" si="21">SUM(E56:Q56)</f>
        <v>82770</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ht="13">
      <c r="A58" s="145" t="s">
        <v>156</v>
      </c>
      <c r="B58" s="146">
        <f t="shared" si="19"/>
        <v>15000</v>
      </c>
      <c r="C58" s="147">
        <v>15000</v>
      </c>
      <c r="D58" s="147"/>
      <c r="E58" s="147">
        <f t="shared" si="20"/>
        <v>15000</v>
      </c>
      <c r="F58" s="147"/>
      <c r="G58" s="147"/>
      <c r="H58" s="147"/>
      <c r="I58" s="147"/>
      <c r="J58" s="147"/>
      <c r="K58" s="147"/>
      <c r="L58" s="147"/>
      <c r="M58" s="147"/>
      <c r="N58" s="147"/>
      <c r="O58" s="147"/>
      <c r="P58" s="147"/>
      <c r="Q58" s="147"/>
      <c r="R58" s="550">
        <f t="shared" si="21"/>
        <v>15000</v>
      </c>
      <c r="S58" s="148"/>
      <c r="T58" s="148"/>
      <c r="U58" s="143"/>
    </row>
    <row r="59" spans="1:21" s="144" customFormat="1" ht="13">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ht="13">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ht="13">
      <c r="A61" s="1193" t="s">
        <v>2728</v>
      </c>
      <c r="B61" s="146">
        <f t="shared" si="19"/>
        <v>10000</v>
      </c>
      <c r="C61" s="147">
        <v>10000</v>
      </c>
      <c r="D61" s="147"/>
      <c r="E61" s="147">
        <f t="shared" si="20"/>
        <v>10000</v>
      </c>
      <c r="F61" s="147"/>
      <c r="G61" s="147"/>
      <c r="H61" s="147"/>
      <c r="I61" s="147"/>
      <c r="J61" s="147"/>
      <c r="K61" s="147"/>
      <c r="L61" s="147"/>
      <c r="M61" s="147"/>
      <c r="N61" s="147"/>
      <c r="O61" s="147"/>
      <c r="P61" s="147"/>
      <c r="Q61" s="147"/>
      <c r="R61" s="550">
        <f t="shared" si="21"/>
        <v>10000</v>
      </c>
      <c r="S61" s="148"/>
      <c r="T61" s="148"/>
      <c r="U61" s="143"/>
    </row>
    <row r="62" spans="1:21" s="144" customFormat="1" ht="13.75" customHeight="1">
      <c r="A62" s="149" t="s">
        <v>301</v>
      </c>
      <c r="B62" s="146">
        <f>SUM(C62:D62)</f>
        <v>107770</v>
      </c>
      <c r="C62" s="146">
        <f t="shared" ref="C62:R62" si="22">SUM(C56:C61)</f>
        <v>107770</v>
      </c>
      <c r="D62" s="146">
        <f t="shared" si="22"/>
        <v>0</v>
      </c>
      <c r="E62" s="146">
        <f t="shared" si="22"/>
        <v>107770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107770</v>
      </c>
      <c r="S62" s="148"/>
      <c r="T62" s="148"/>
      <c r="U62" s="143"/>
    </row>
    <row r="63" spans="1:21" s="144" customFormat="1" ht="13">
      <c r="A63" s="154" t="s">
        <v>302</v>
      </c>
      <c r="B63" s="146">
        <f t="shared" ref="B63:R63" si="23">SUM(B8+B11+B13+B14+B15+B26+B27+B38+B42+B43+B54+B62)</f>
        <v>47041710</v>
      </c>
      <c r="C63" s="146">
        <f t="shared" si="23"/>
        <v>47041710</v>
      </c>
      <c r="D63" s="146">
        <f t="shared" si="23"/>
        <v>0</v>
      </c>
      <c r="E63" s="146">
        <f t="shared" si="23"/>
        <v>29235181</v>
      </c>
      <c r="F63" s="146">
        <f t="shared" si="23"/>
        <v>8277000</v>
      </c>
      <c r="G63" s="146">
        <f t="shared" si="23"/>
        <v>3000000</v>
      </c>
      <c r="H63" s="146">
        <f t="shared" si="23"/>
        <v>6529529</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47041710</v>
      </c>
      <c r="S63" s="146">
        <f>SUM(S10+S13+S14+S15+S26+S27+S38+S42+S43+S54)</f>
        <v>39903647</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135000</v>
      </c>
      <c r="C65" s="147">
        <f>60000+60000+15000</f>
        <v>135000</v>
      </c>
      <c r="D65" s="147"/>
      <c r="E65" s="147">
        <f t="shared" ref="E65:E69" si="24">B65-SUM(F65:Q65)</f>
        <v>135000</v>
      </c>
      <c r="F65" s="147"/>
      <c r="G65" s="147"/>
      <c r="H65" s="147"/>
      <c r="I65" s="147"/>
      <c r="J65" s="147"/>
      <c r="K65" s="147"/>
      <c r="L65" s="147"/>
      <c r="M65" s="147"/>
      <c r="N65" s="147"/>
      <c r="O65" s="147"/>
      <c r="P65" s="147"/>
      <c r="Q65" s="147"/>
      <c r="R65" s="550">
        <f>SUM(E65:Q65)</f>
        <v>135000</v>
      </c>
      <c r="S65" s="147">
        <f>11608+36049</f>
        <v>47657</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f t="shared" ref="S67:S68" si="25">C67</f>
        <v>0</v>
      </c>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f t="shared" si="25"/>
        <v>0</v>
      </c>
      <c r="T68" s="147"/>
      <c r="U68" s="143"/>
    </row>
    <row r="69" spans="1:21" s="144" customFormat="1" ht="13">
      <c r="A69" s="1193" t="s">
        <v>2726</v>
      </c>
      <c r="B69" s="146">
        <f>SUM(C69+D69)</f>
        <v>55000</v>
      </c>
      <c r="C69" s="147">
        <f>40000+15000</f>
        <v>55000</v>
      </c>
      <c r="D69" s="147"/>
      <c r="E69" s="147">
        <f t="shared" si="24"/>
        <v>55000</v>
      </c>
      <c r="F69" s="147"/>
      <c r="G69" s="147"/>
      <c r="H69" s="147"/>
      <c r="I69" s="147"/>
      <c r="J69" s="147"/>
      <c r="K69" s="147"/>
      <c r="L69" s="147"/>
      <c r="M69" s="147"/>
      <c r="N69" s="147"/>
      <c r="O69" s="147"/>
      <c r="P69" s="147"/>
      <c r="Q69" s="147"/>
      <c r="R69" s="550">
        <f>SUM(E69:Q69)</f>
        <v>55000</v>
      </c>
      <c r="S69" s="147">
        <v>40000</v>
      </c>
      <c r="T69" s="147"/>
      <c r="U69" s="143"/>
    </row>
    <row r="70" spans="1:21" s="144" customFormat="1" ht="13">
      <c r="A70" s="149" t="s">
        <v>1758</v>
      </c>
      <c r="B70" s="146">
        <f>SUM(C70:D70)</f>
        <v>190000</v>
      </c>
      <c r="C70" s="146">
        <f>SUM(C65:C69)</f>
        <v>190000</v>
      </c>
      <c r="D70" s="146">
        <f>SUM(D65:D69)</f>
        <v>0</v>
      </c>
      <c r="E70" s="146">
        <f t="shared" ref="E70:T70" si="26">SUM(E65:E69)</f>
        <v>190000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190000</v>
      </c>
      <c r="S70" s="150">
        <f t="shared" si="26"/>
        <v>87657</v>
      </c>
      <c r="T70" s="150">
        <f t="shared" si="26"/>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27">B72-SUM(F72:Q72)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339521</v>
      </c>
      <c r="C75" s="147">
        <v>339521</v>
      </c>
      <c r="D75" s="147"/>
      <c r="E75" s="147">
        <f t="shared" si="27"/>
        <v>339521</v>
      </c>
      <c r="F75" s="147"/>
      <c r="G75" s="147"/>
      <c r="H75" s="147"/>
      <c r="I75" s="147"/>
      <c r="J75" s="147"/>
      <c r="K75" s="147"/>
      <c r="L75" s="147"/>
      <c r="M75" s="147"/>
      <c r="N75" s="147"/>
      <c r="O75" s="147"/>
      <c r="P75" s="147"/>
      <c r="Q75" s="147"/>
      <c r="R75" s="550">
        <f>SUM(E75:Q75)</f>
        <v>339521</v>
      </c>
      <c r="S75" s="148"/>
      <c r="T75" s="148"/>
      <c r="U75" s="143"/>
    </row>
    <row r="76" spans="1:21" s="144" customFormat="1" ht="13">
      <c r="A76" s="1193" t="s">
        <v>34</v>
      </c>
      <c r="B76" s="146">
        <f>SUM(C76+D76)</f>
        <v>0</v>
      </c>
      <c r="C76" s="147"/>
      <c r="D76" s="147"/>
      <c r="E76" s="147">
        <f t="shared" si="27"/>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339521</v>
      </c>
      <c r="C77" s="146">
        <f>SUM(C72:C76)</f>
        <v>339521</v>
      </c>
      <c r="D77" s="146">
        <f>SUM(D72:D76)</f>
        <v>0</v>
      </c>
      <c r="E77" s="146">
        <f t="shared" ref="E77:Q77" si="28">SUM(E72:E76)</f>
        <v>339521</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339521</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1592518</v>
      </c>
      <c r="C79" s="147">
        <v>1592518</v>
      </c>
      <c r="D79" s="147"/>
      <c r="E79" s="147">
        <f t="shared" ref="E79:E80" si="29">B79-SUM(F79:Q79)</f>
        <v>1592518</v>
      </c>
      <c r="F79" s="147"/>
      <c r="G79" s="147"/>
      <c r="H79" s="147"/>
      <c r="I79" s="147"/>
      <c r="J79" s="147"/>
      <c r="K79" s="147"/>
      <c r="L79" s="147"/>
      <c r="M79" s="147"/>
      <c r="N79" s="147"/>
      <c r="O79" s="147"/>
      <c r="P79" s="147"/>
      <c r="Q79" s="147"/>
      <c r="R79" s="550">
        <f>SUM(E79:Q79)</f>
        <v>1592518</v>
      </c>
      <c r="S79" s="147">
        <f t="shared" ref="S79:S80" si="30">C79</f>
        <v>1592518</v>
      </c>
      <c r="T79" s="147"/>
      <c r="U79" s="143"/>
    </row>
    <row r="80" spans="1:21" s="144" customFormat="1" ht="13">
      <c r="A80" s="304" t="s">
        <v>58</v>
      </c>
      <c r="B80" s="146">
        <f>SUM(C80:D80)</f>
        <v>351282</v>
      </c>
      <c r="C80" s="147">
        <v>351282</v>
      </c>
      <c r="D80" s="147"/>
      <c r="E80" s="147">
        <f t="shared" si="29"/>
        <v>351282</v>
      </c>
      <c r="F80" s="147"/>
      <c r="G80" s="147"/>
      <c r="H80" s="147"/>
      <c r="I80" s="147"/>
      <c r="J80" s="147"/>
      <c r="K80" s="147"/>
      <c r="L80" s="147"/>
      <c r="M80" s="147"/>
      <c r="N80" s="147"/>
      <c r="O80" s="147"/>
      <c r="P80" s="147"/>
      <c r="Q80" s="147"/>
      <c r="R80" s="550">
        <f>SUM(E80:Q80)</f>
        <v>351282</v>
      </c>
      <c r="S80" s="147">
        <f t="shared" si="30"/>
        <v>351282</v>
      </c>
      <c r="T80" s="147"/>
      <c r="U80" s="143"/>
    </row>
    <row r="81" spans="1:21" s="144" customFormat="1" ht="13">
      <c r="A81" s="149" t="s">
        <v>1315</v>
      </c>
      <c r="B81" s="146">
        <f>SUM(C81:D81)</f>
        <v>1943800</v>
      </c>
      <c r="C81" s="543">
        <f>SUM(C79:C80)</f>
        <v>1943800</v>
      </c>
      <c r="D81" s="543">
        <f t="shared" ref="D81:T81" si="31">SUM(D79:D80)</f>
        <v>0</v>
      </c>
      <c r="E81" s="543">
        <f t="shared" si="31"/>
        <v>1943800</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1943800</v>
      </c>
      <c r="S81" s="543">
        <f t="shared" si="31"/>
        <v>1943800</v>
      </c>
      <c r="T81" s="543">
        <f t="shared" si="31"/>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2">SUM(C83+D83)</f>
        <v>85218</v>
      </c>
      <c r="C83" s="147">
        <v>85218</v>
      </c>
      <c r="D83" s="147"/>
      <c r="E83" s="147">
        <f t="shared" ref="E83:E95" si="33">B83-SUM(F83:Q83)</f>
        <v>85218</v>
      </c>
      <c r="F83" s="147"/>
      <c r="G83" s="147"/>
      <c r="H83" s="147"/>
      <c r="I83" s="147"/>
      <c r="J83" s="147"/>
      <c r="K83" s="147"/>
      <c r="L83" s="147"/>
      <c r="M83" s="147"/>
      <c r="N83" s="147"/>
      <c r="O83" s="147"/>
      <c r="P83" s="147"/>
      <c r="Q83" s="147"/>
      <c r="R83" s="550">
        <f t="shared" ref="R83:R95" si="34">SUM(E83:Q83)</f>
        <v>85218</v>
      </c>
      <c r="S83" s="148"/>
      <c r="T83" s="148"/>
      <c r="U83" s="143"/>
    </row>
    <row r="84" spans="1:21" s="144" customFormat="1" ht="13">
      <c r="A84" s="145" t="s">
        <v>776</v>
      </c>
      <c r="B84" s="146">
        <f t="shared" si="32"/>
        <v>155000</v>
      </c>
      <c r="C84" s="147">
        <f>65000+15000+15000+60000</f>
        <v>155000</v>
      </c>
      <c r="D84" s="147"/>
      <c r="E84" s="147">
        <f t="shared" si="33"/>
        <v>155000</v>
      </c>
      <c r="F84" s="147"/>
      <c r="G84" s="147"/>
      <c r="H84" s="147"/>
      <c r="I84" s="147"/>
      <c r="J84" s="147"/>
      <c r="K84" s="147"/>
      <c r="L84" s="147"/>
      <c r="M84" s="147"/>
      <c r="N84" s="147"/>
      <c r="O84" s="147"/>
      <c r="P84" s="147"/>
      <c r="Q84" s="147"/>
      <c r="R84" s="550">
        <f t="shared" si="34"/>
        <v>155000</v>
      </c>
      <c r="S84" s="147">
        <f t="shared" ref="S84:S87" si="35">C84</f>
        <v>155000</v>
      </c>
      <c r="T84" s="147"/>
      <c r="U84" s="143"/>
    </row>
    <row r="85" spans="1:21" s="144" customFormat="1" ht="13">
      <c r="A85" s="145" t="s">
        <v>777</v>
      </c>
      <c r="B85" s="146">
        <f t="shared" si="32"/>
        <v>533000</v>
      </c>
      <c r="C85" s="147">
        <v>533000</v>
      </c>
      <c r="D85" s="147"/>
      <c r="E85" s="147">
        <f t="shared" si="33"/>
        <v>533000</v>
      </c>
      <c r="F85" s="147"/>
      <c r="G85" s="147"/>
      <c r="H85" s="147"/>
      <c r="I85" s="147"/>
      <c r="J85" s="147"/>
      <c r="K85" s="147"/>
      <c r="L85" s="147"/>
      <c r="M85" s="147"/>
      <c r="N85" s="147"/>
      <c r="O85" s="147"/>
      <c r="P85" s="147"/>
      <c r="Q85" s="147"/>
      <c r="R85" s="550">
        <f t="shared" si="34"/>
        <v>533000</v>
      </c>
      <c r="S85" s="147">
        <f t="shared" si="35"/>
        <v>533000</v>
      </c>
      <c r="T85" s="147"/>
      <c r="U85" s="143"/>
    </row>
    <row r="86" spans="1:21" s="144" customFormat="1" ht="13">
      <c r="A86" s="145" t="s">
        <v>778</v>
      </c>
      <c r="B86" s="146">
        <f t="shared" si="32"/>
        <v>1066000</v>
      </c>
      <c r="C86" s="147">
        <f>574000+492000</f>
        <v>1066000</v>
      </c>
      <c r="D86" s="147"/>
      <c r="E86" s="147">
        <f t="shared" si="33"/>
        <v>1066000</v>
      </c>
      <c r="F86" s="147"/>
      <c r="G86" s="147"/>
      <c r="H86" s="147"/>
      <c r="I86" s="147"/>
      <c r="J86" s="147"/>
      <c r="K86" s="147"/>
      <c r="L86" s="147"/>
      <c r="M86" s="147"/>
      <c r="N86" s="147"/>
      <c r="O86" s="147"/>
      <c r="P86" s="147"/>
      <c r="Q86" s="147"/>
      <c r="R86" s="550">
        <f t="shared" si="34"/>
        <v>1066000</v>
      </c>
      <c r="S86" s="147">
        <f t="shared" si="35"/>
        <v>1066000</v>
      </c>
      <c r="T86" s="147"/>
      <c r="U86" s="143"/>
    </row>
    <row r="87" spans="1:21" s="144" customFormat="1" ht="13">
      <c r="A87" s="145" t="s">
        <v>779</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f t="shared" si="35"/>
        <v>0</v>
      </c>
      <c r="T87" s="147"/>
      <c r="U87" s="143"/>
    </row>
    <row r="88" spans="1:21" s="144" customFormat="1" ht="13">
      <c r="A88" s="145" t="s">
        <v>780</v>
      </c>
      <c r="B88" s="146">
        <f t="shared" si="32"/>
        <v>40000</v>
      </c>
      <c r="C88" s="147">
        <v>40000</v>
      </c>
      <c r="D88" s="147"/>
      <c r="E88" s="147">
        <f t="shared" si="33"/>
        <v>40000</v>
      </c>
      <c r="F88" s="147"/>
      <c r="G88" s="147"/>
      <c r="H88" s="147"/>
      <c r="I88" s="147"/>
      <c r="J88" s="147"/>
      <c r="K88" s="147"/>
      <c r="L88" s="147"/>
      <c r="M88" s="147"/>
      <c r="N88" s="147"/>
      <c r="O88" s="147"/>
      <c r="P88" s="147"/>
      <c r="Q88" s="147"/>
      <c r="R88" s="550">
        <f t="shared" si="34"/>
        <v>40000</v>
      </c>
      <c r="S88" s="148"/>
      <c r="T88" s="148"/>
      <c r="U88" s="143"/>
    </row>
    <row r="89" spans="1:21" s="144" customFormat="1" ht="13">
      <c r="A89" s="145" t="s">
        <v>781</v>
      </c>
      <c r="B89" s="146">
        <f t="shared" si="32"/>
        <v>150000</v>
      </c>
      <c r="C89" s="147">
        <v>150000</v>
      </c>
      <c r="D89" s="147"/>
      <c r="E89" s="147">
        <f t="shared" si="33"/>
        <v>150000</v>
      </c>
      <c r="F89" s="147"/>
      <c r="G89" s="147"/>
      <c r="H89" s="147"/>
      <c r="I89" s="147"/>
      <c r="J89" s="147"/>
      <c r="K89" s="147"/>
      <c r="L89" s="147"/>
      <c r="M89" s="147"/>
      <c r="N89" s="147"/>
      <c r="O89" s="147"/>
      <c r="P89" s="147"/>
      <c r="Q89" s="147"/>
      <c r="R89" s="550">
        <f t="shared" si="34"/>
        <v>150000</v>
      </c>
      <c r="S89" s="147">
        <f t="shared" ref="S89:S93" si="36">C89</f>
        <v>150000</v>
      </c>
      <c r="T89" s="147"/>
      <c r="U89" s="143"/>
    </row>
    <row r="90" spans="1:21" s="144" customFormat="1" ht="13">
      <c r="A90" s="145" t="s">
        <v>782</v>
      </c>
      <c r="B90" s="146">
        <f t="shared" si="32"/>
        <v>8500</v>
      </c>
      <c r="C90" s="147">
        <v>8500</v>
      </c>
      <c r="D90" s="147"/>
      <c r="E90" s="147">
        <f t="shared" si="33"/>
        <v>8500</v>
      </c>
      <c r="F90" s="147"/>
      <c r="G90" s="147"/>
      <c r="H90" s="147"/>
      <c r="I90" s="147"/>
      <c r="J90" s="147"/>
      <c r="K90" s="147"/>
      <c r="L90" s="147"/>
      <c r="M90" s="147"/>
      <c r="N90" s="147"/>
      <c r="O90" s="147"/>
      <c r="P90" s="147"/>
      <c r="Q90" s="147"/>
      <c r="R90" s="550">
        <f t="shared" si="34"/>
        <v>8500</v>
      </c>
      <c r="S90" s="147"/>
      <c r="T90" s="147"/>
      <c r="U90" s="143"/>
    </row>
    <row r="91" spans="1:21" s="144" customFormat="1" ht="13">
      <c r="A91" s="145" t="s">
        <v>372</v>
      </c>
      <c r="B91" s="146">
        <f t="shared" si="32"/>
        <v>0</v>
      </c>
      <c r="C91" s="147"/>
      <c r="D91" s="147"/>
      <c r="E91" s="147"/>
      <c r="F91" s="147"/>
      <c r="G91" s="147"/>
      <c r="H91" s="147"/>
      <c r="I91" s="147"/>
      <c r="J91" s="147"/>
      <c r="K91" s="147"/>
      <c r="L91" s="147"/>
      <c r="M91" s="147"/>
      <c r="N91" s="147"/>
      <c r="O91" s="147"/>
      <c r="P91" s="147"/>
      <c r="Q91" s="147"/>
      <c r="R91" s="550">
        <f t="shared" si="34"/>
        <v>0</v>
      </c>
      <c r="S91" s="147"/>
      <c r="T91" s="147"/>
      <c r="U91" s="143"/>
    </row>
    <row r="92" spans="1:21" s="144" customFormat="1" ht="13">
      <c r="A92" s="304" t="s">
        <v>1317</v>
      </c>
      <c r="B92" s="146">
        <f t="shared" si="32"/>
        <v>5000</v>
      </c>
      <c r="C92" s="147">
        <v>5000</v>
      </c>
      <c r="D92" s="147"/>
      <c r="E92" s="147">
        <f t="shared" si="33"/>
        <v>5000</v>
      </c>
      <c r="F92" s="147"/>
      <c r="G92" s="147"/>
      <c r="H92" s="147"/>
      <c r="I92" s="147"/>
      <c r="J92" s="147"/>
      <c r="K92" s="147"/>
      <c r="L92" s="147"/>
      <c r="M92" s="147"/>
      <c r="N92" s="147"/>
      <c r="O92" s="147"/>
      <c r="P92" s="147"/>
      <c r="Q92" s="147"/>
      <c r="R92" s="550">
        <f t="shared" si="34"/>
        <v>5000</v>
      </c>
      <c r="S92" s="147">
        <f t="shared" si="36"/>
        <v>5000</v>
      </c>
      <c r="T92" s="147"/>
      <c r="U92" s="143"/>
    </row>
    <row r="93" spans="1:21" s="144" customFormat="1" ht="13">
      <c r="A93" s="1193" t="s">
        <v>2725</v>
      </c>
      <c r="B93" s="146">
        <f t="shared" si="32"/>
        <v>99000</v>
      </c>
      <c r="C93" s="147">
        <f>75000+24000</f>
        <v>99000</v>
      </c>
      <c r="D93" s="147"/>
      <c r="E93" s="147">
        <f t="shared" si="33"/>
        <v>99000</v>
      </c>
      <c r="F93" s="147"/>
      <c r="G93" s="147"/>
      <c r="H93" s="147"/>
      <c r="I93" s="147"/>
      <c r="J93" s="147"/>
      <c r="K93" s="147"/>
      <c r="L93" s="147"/>
      <c r="M93" s="147"/>
      <c r="N93" s="147"/>
      <c r="O93" s="147"/>
      <c r="P93" s="147"/>
      <c r="Q93" s="147"/>
      <c r="R93" s="550">
        <f t="shared" si="34"/>
        <v>99000</v>
      </c>
      <c r="S93" s="147">
        <f t="shared" si="36"/>
        <v>99000</v>
      </c>
      <c r="T93" s="147"/>
      <c r="U93" s="143"/>
    </row>
    <row r="94" spans="1:21" s="144" customFormat="1" ht="26">
      <c r="A94" s="1193" t="s">
        <v>2729</v>
      </c>
      <c r="B94" s="146">
        <f t="shared" si="32"/>
        <v>118200</v>
      </c>
      <c r="C94" s="147">
        <f>15000+48000+55200</f>
        <v>118200</v>
      </c>
      <c r="D94" s="147"/>
      <c r="E94" s="147">
        <f t="shared" si="33"/>
        <v>118200</v>
      </c>
      <c r="F94" s="147"/>
      <c r="G94" s="147"/>
      <c r="H94" s="147"/>
      <c r="I94" s="147"/>
      <c r="J94" s="147"/>
      <c r="K94" s="147"/>
      <c r="L94" s="147"/>
      <c r="M94" s="147"/>
      <c r="N94" s="147"/>
      <c r="O94" s="147"/>
      <c r="P94" s="147"/>
      <c r="Q94" s="147"/>
      <c r="R94" s="550">
        <f t="shared" si="34"/>
        <v>118200</v>
      </c>
      <c r="S94" s="147">
        <f>15000+48000-1</f>
        <v>62999</v>
      </c>
      <c r="T94" s="147"/>
      <c r="U94" s="143"/>
    </row>
    <row r="95" spans="1:21" s="144" customFormat="1" ht="13">
      <c r="A95" s="1193" t="s">
        <v>2730</v>
      </c>
      <c r="B95" s="146">
        <f t="shared" si="32"/>
        <v>16473</v>
      </c>
      <c r="C95" s="147">
        <f>11476+5000-3</f>
        <v>16473</v>
      </c>
      <c r="D95" s="147"/>
      <c r="E95" s="147">
        <f t="shared" si="33"/>
        <v>16473</v>
      </c>
      <c r="F95" s="147"/>
      <c r="G95" s="147"/>
      <c r="H95" s="147"/>
      <c r="I95" s="147"/>
      <c r="J95" s="147"/>
      <c r="K95" s="147"/>
      <c r="L95" s="147"/>
      <c r="M95" s="147"/>
      <c r="N95" s="147"/>
      <c r="O95" s="147"/>
      <c r="P95" s="147"/>
      <c r="Q95" s="147"/>
      <c r="R95" s="550">
        <f t="shared" si="34"/>
        <v>16473</v>
      </c>
      <c r="S95" s="147">
        <f>2220+967</f>
        <v>3187</v>
      </c>
      <c r="T95" s="147"/>
      <c r="U95" s="143"/>
    </row>
    <row r="96" spans="1:21" s="144" customFormat="1" ht="13">
      <c r="A96" s="149" t="s">
        <v>783</v>
      </c>
      <c r="B96" s="146">
        <f>SUM(C96:D96)</f>
        <v>2276391</v>
      </c>
      <c r="C96" s="146">
        <f t="shared" ref="C96:R96" si="37">SUM(C83:C95)</f>
        <v>2276391</v>
      </c>
      <c r="D96" s="146">
        <f t="shared" si="37"/>
        <v>0</v>
      </c>
      <c r="E96" s="146">
        <f t="shared" si="37"/>
        <v>2276391</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2276391</v>
      </c>
      <c r="S96" s="150">
        <f>SUM(S84:S87,S89:S95)</f>
        <v>2074186</v>
      </c>
      <c r="T96" s="146">
        <f>SUM(T84:T87,T89:T95)</f>
        <v>0</v>
      </c>
      <c r="U96" s="143"/>
    </row>
    <row r="97" spans="1:21" s="144" customFormat="1" ht="13">
      <c r="A97" s="149" t="s">
        <v>784</v>
      </c>
      <c r="B97" s="146">
        <f>SUM(C97:D97)</f>
        <v>51791422</v>
      </c>
      <c r="C97" s="146">
        <f t="shared" ref="C97:R97" si="38">SUM(C63+C70+C77+C81+C96)</f>
        <v>51791422</v>
      </c>
      <c r="D97" s="146">
        <f t="shared" si="38"/>
        <v>0</v>
      </c>
      <c r="E97" s="146">
        <f t="shared" si="38"/>
        <v>33984893</v>
      </c>
      <c r="F97" s="146">
        <f t="shared" si="38"/>
        <v>8277000</v>
      </c>
      <c r="G97" s="146">
        <f t="shared" si="38"/>
        <v>3000000</v>
      </c>
      <c r="H97" s="146">
        <f t="shared" si="38"/>
        <v>6529529</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51791422</v>
      </c>
      <c r="S97" s="146">
        <f>SUM(S63+S70+S81+S96)</f>
        <v>44009290</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6601394</v>
      </c>
      <c r="C99" s="1014">
        <v>6601394</v>
      </c>
      <c r="D99" s="1014"/>
      <c r="E99" s="1014">
        <f>C99-SUM(F99:Q99)</f>
        <v>2867131</v>
      </c>
      <c r="F99" s="147"/>
      <c r="G99" s="147"/>
      <c r="H99" s="147"/>
      <c r="I99" s="147">
        <v>3734263</v>
      </c>
      <c r="J99" s="147"/>
      <c r="K99" s="147"/>
      <c r="L99" s="147"/>
      <c r="M99" s="147"/>
      <c r="N99" s="147"/>
      <c r="O99" s="147"/>
      <c r="P99" s="147"/>
      <c r="Q99" s="147"/>
      <c r="R99" s="550">
        <f>SUM(E99:Q99)</f>
        <v>6601394</v>
      </c>
      <c r="S99" s="147">
        <f>C99</f>
        <v>6601394</v>
      </c>
      <c r="T99" s="147"/>
      <c r="U99" s="143"/>
    </row>
    <row r="100" spans="1:21" s="144" customFormat="1" ht="13">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6601394</v>
      </c>
      <c r="C104" s="146">
        <f>SUM(C99:C103)</f>
        <v>6601394</v>
      </c>
      <c r="D104" s="146">
        <f t="shared" ref="D104:T104" si="39">SUM(D99:D103)</f>
        <v>0</v>
      </c>
      <c r="E104" s="146">
        <f t="shared" si="39"/>
        <v>2867131</v>
      </c>
      <c r="F104" s="146">
        <f t="shared" si="39"/>
        <v>0</v>
      </c>
      <c r="G104" s="146">
        <f t="shared" si="39"/>
        <v>0</v>
      </c>
      <c r="H104" s="146">
        <f t="shared" si="39"/>
        <v>0</v>
      </c>
      <c r="I104" s="146">
        <f t="shared" si="39"/>
        <v>3734263</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70">
        <f t="shared" si="39"/>
        <v>6601394</v>
      </c>
      <c r="S104" s="150">
        <f t="shared" si="39"/>
        <v>6601394</v>
      </c>
      <c r="T104" s="150">
        <f t="shared" si="39"/>
        <v>0</v>
      </c>
      <c r="U104" s="143"/>
    </row>
    <row r="105" spans="1:21" s="144" customFormat="1" ht="13">
      <c r="A105" s="149" t="s">
        <v>789</v>
      </c>
      <c r="B105" s="150">
        <f>SUM(C105:D105)</f>
        <v>58392816</v>
      </c>
      <c r="C105" s="150">
        <f t="shared" ref="C105:R105" si="40">SUM(C97+C104)</f>
        <v>58392816</v>
      </c>
      <c r="D105" s="150">
        <f t="shared" si="40"/>
        <v>0</v>
      </c>
      <c r="E105" s="150">
        <f t="shared" si="40"/>
        <v>36852024</v>
      </c>
      <c r="F105" s="150">
        <f t="shared" si="40"/>
        <v>8277000</v>
      </c>
      <c r="G105" s="150">
        <f t="shared" si="40"/>
        <v>3000000</v>
      </c>
      <c r="H105" s="150">
        <f t="shared" si="40"/>
        <v>6529529</v>
      </c>
      <c r="I105" s="150">
        <f t="shared" si="40"/>
        <v>3734263</v>
      </c>
      <c r="J105" s="150">
        <f t="shared" si="40"/>
        <v>0</v>
      </c>
      <c r="K105" s="150">
        <f t="shared" si="40"/>
        <v>0</v>
      </c>
      <c r="L105" s="150">
        <f t="shared" si="40"/>
        <v>0</v>
      </c>
      <c r="M105" s="150">
        <f t="shared" si="40"/>
        <v>0</v>
      </c>
      <c r="N105" s="150">
        <f t="shared" si="40"/>
        <v>0</v>
      </c>
      <c r="O105" s="150">
        <f t="shared" si="40"/>
        <v>0</v>
      </c>
      <c r="P105" s="150">
        <f t="shared" si="40"/>
        <v>0</v>
      </c>
      <c r="Q105" s="150">
        <f t="shared" si="40"/>
        <v>0</v>
      </c>
      <c r="R105" s="370">
        <f t="shared" si="40"/>
        <v>58392816</v>
      </c>
      <c r="S105" s="150">
        <f>S97+S104</f>
        <v>50610684</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50610684</v>
      </c>
      <c r="T107" s="150">
        <f>T105+T106</f>
        <v>0</v>
      </c>
    </row>
    <row r="108" spans="1:21" s="201" customFormat="1">
      <c r="A108" s="162" t="s">
        <v>891</v>
      </c>
      <c r="B108" s="157"/>
      <c r="C108" s="157"/>
      <c r="D108" s="157"/>
      <c r="E108" s="323">
        <f>Application!AO640</f>
        <v>36852024</v>
      </c>
      <c r="F108" s="323">
        <f>Application!AO627</f>
        <v>8277000</v>
      </c>
      <c r="G108" s="323">
        <f>Application!AO628</f>
        <v>3000000</v>
      </c>
      <c r="H108" s="323">
        <f>Application!AO629</f>
        <v>6529529</v>
      </c>
      <c r="I108" s="323">
        <f>Application!AO630</f>
        <v>3734263</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1" t="s">
        <v>1014</v>
      </c>
      <c r="E122" s="1881"/>
      <c r="F122" s="1881"/>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3" t="s">
        <v>1331</v>
      </c>
      <c r="E123" s="1809"/>
      <c r="F123" s="1809"/>
      <c r="G123" s="1809"/>
      <c r="H123" s="1809"/>
      <c r="I123" s="1809"/>
      <c r="J123" s="1809"/>
      <c r="K123" s="1809"/>
      <c r="L123" s="1809"/>
      <c r="M123" s="1809"/>
      <c r="N123" s="1809"/>
      <c r="O123" s="1809"/>
      <c r="P123" s="1809"/>
      <c r="Q123" s="1809"/>
      <c r="R123" s="1809"/>
      <c r="S123" s="1809"/>
      <c r="T123" s="352"/>
      <c r="U123" s="354"/>
    </row>
    <row r="124" spans="1:21" ht="14">
      <c r="A124" s="117" t="s">
        <v>1016</v>
      </c>
      <c r="B124" s="361"/>
      <c r="C124" s="117"/>
      <c r="D124" s="1809"/>
      <c r="E124" s="1809"/>
      <c r="F124" s="1809"/>
      <c r="G124" s="1809"/>
      <c r="H124" s="1809"/>
      <c r="I124" s="1809"/>
      <c r="J124" s="1809"/>
      <c r="K124" s="1809"/>
      <c r="L124" s="1809"/>
      <c r="M124" s="1809"/>
      <c r="N124" s="1809"/>
      <c r="O124" s="1809"/>
      <c r="P124" s="1809"/>
      <c r="Q124" s="1809"/>
      <c r="R124" s="1809"/>
      <c r="S124" s="1809"/>
      <c r="T124" s="352"/>
      <c r="U124" s="354"/>
    </row>
    <row r="125" spans="1:21" ht="14">
      <c r="A125" s="117" t="s">
        <v>1017</v>
      </c>
      <c r="B125" s="361">
        <f>25000+35000</f>
        <v>60000</v>
      </c>
      <c r="C125" s="117"/>
      <c r="D125" s="1809"/>
      <c r="E125" s="1809"/>
      <c r="F125" s="1809"/>
      <c r="G125" s="1809"/>
      <c r="H125" s="1809"/>
      <c r="I125" s="1809"/>
      <c r="J125" s="1809"/>
      <c r="K125" s="1809"/>
      <c r="L125" s="1809"/>
      <c r="M125" s="1809"/>
      <c r="N125" s="1809"/>
      <c r="O125" s="1809"/>
      <c r="P125" s="1809"/>
      <c r="Q125" s="1809"/>
      <c r="R125" s="1809"/>
      <c r="S125" s="1809"/>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v>25000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4">
      <c r="A129" s="117" t="s">
        <v>300</v>
      </c>
      <c r="B129" s="361">
        <v>110000</v>
      </c>
      <c r="C129" s="117"/>
      <c r="D129" s="1880" t="s">
        <v>1021</v>
      </c>
      <c r="E129" s="1880"/>
      <c r="F129" s="1880"/>
      <c r="G129" s="1880"/>
      <c r="H129" s="188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195000</v>
      </c>
      <c r="C131" s="117"/>
      <c r="D131" s="1844"/>
      <c r="E131" s="1844"/>
      <c r="F131" s="1844"/>
      <c r="G131" s="1844"/>
      <c r="H131" s="1844"/>
      <c r="I131" s="117"/>
      <c r="J131" s="1844"/>
      <c r="K131" s="1844"/>
      <c r="L131" s="1844"/>
      <c r="M131" s="1844"/>
      <c r="N131" s="117"/>
      <c r="O131" s="117"/>
      <c r="P131" s="117"/>
      <c r="Q131" s="117"/>
      <c r="R131" s="117"/>
      <c r="S131" s="117"/>
      <c r="T131" s="352"/>
      <c r="U131" s="354"/>
    </row>
    <row r="132" spans="1:21" ht="12" customHeight="1">
      <c r="A132" s="364"/>
      <c r="B132" s="117"/>
      <c r="C132" s="117"/>
      <c r="D132" s="1884" t="s">
        <v>1024</v>
      </c>
      <c r="E132" s="1884"/>
      <c r="F132" s="1884"/>
      <c r="G132" s="1884"/>
      <c r="H132" s="1884"/>
      <c r="I132" s="117"/>
      <c r="J132" s="1884" t="s">
        <v>1025</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4">
      <c r="A139" s="1882" t="s">
        <v>1028</v>
      </c>
      <c r="B139" s="1882"/>
      <c r="C139" s="1882"/>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99" sqref="C99:C103"/>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8" t="s">
        <v>1334</v>
      </c>
      <c r="B1" s="1889"/>
      <c r="C1" s="1889"/>
      <c r="D1" s="1889"/>
      <c r="E1" s="1889"/>
      <c r="F1" s="1889"/>
      <c r="G1" s="1889"/>
      <c r="H1" s="1889"/>
      <c r="I1" s="1889"/>
      <c r="J1" s="1890"/>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4425000</v>
      </c>
      <c r="C4" s="393">
        <f>B4</f>
        <v>4425000</v>
      </c>
      <c r="D4" s="393"/>
      <c r="E4" s="394"/>
      <c r="F4" s="394"/>
      <c r="G4" s="394"/>
      <c r="H4" s="394"/>
      <c r="I4" s="394"/>
      <c r="J4" s="394"/>
      <c r="K4" s="390"/>
    </row>
    <row r="5" spans="1:11" s="391" customFormat="1" ht="13">
      <c r="A5" s="395" t="s">
        <v>28</v>
      </c>
      <c r="B5" s="392">
        <f>'Sources and Uses Budget'!C5</f>
        <v>300000</v>
      </c>
      <c r="C5" s="393">
        <f t="shared" ref="C5:C7" si="0">B5</f>
        <v>300000</v>
      </c>
      <c r="D5" s="393"/>
      <c r="E5" s="394"/>
      <c r="F5" s="394"/>
      <c r="G5" s="394"/>
      <c r="H5" s="394"/>
      <c r="I5" s="394"/>
      <c r="J5" s="394"/>
      <c r="K5" s="390"/>
    </row>
    <row r="6" spans="1:11" s="391" customFormat="1" ht="13">
      <c r="A6" s="395" t="s">
        <v>29</v>
      </c>
      <c r="B6" s="392">
        <f>'Sources and Uses Budget'!C6</f>
        <v>0</v>
      </c>
      <c r="C6" s="393">
        <f t="shared" si="0"/>
        <v>0</v>
      </c>
      <c r="D6" s="393"/>
      <c r="E6" s="394"/>
      <c r="F6" s="394"/>
      <c r="G6" s="394"/>
      <c r="H6" s="394"/>
      <c r="I6" s="394"/>
      <c r="J6" s="394"/>
      <c r="K6" s="390"/>
    </row>
    <row r="7" spans="1:11" s="391" customFormat="1" ht="13">
      <c r="A7" s="395" t="s">
        <v>97</v>
      </c>
      <c r="B7" s="392">
        <f>'Sources and Uses Budget'!C7</f>
        <v>0</v>
      </c>
      <c r="C7" s="393">
        <f t="shared" si="0"/>
        <v>0</v>
      </c>
      <c r="D7" s="393"/>
      <c r="E7" s="394"/>
      <c r="F7" s="394"/>
      <c r="G7" s="394"/>
      <c r="H7" s="394"/>
      <c r="I7" s="394"/>
      <c r="J7" s="394"/>
      <c r="K7" s="390"/>
    </row>
    <row r="8" spans="1:11" s="391" customFormat="1" ht="13">
      <c r="A8" s="396" t="s">
        <v>601</v>
      </c>
      <c r="B8" s="392">
        <f>'Sources and Uses Budget'!C8</f>
        <v>4725000</v>
      </c>
      <c r="C8" s="392">
        <f>SUM(C4:C7)</f>
        <v>4725000</v>
      </c>
      <c r="D8" s="392">
        <f>SUM(D4:D7)</f>
        <v>0</v>
      </c>
      <c r="E8" s="394"/>
      <c r="F8" s="394"/>
      <c r="G8" s="394"/>
      <c r="H8" s="394"/>
      <c r="I8" s="394"/>
      <c r="J8" s="394"/>
      <c r="K8" s="390"/>
    </row>
    <row r="9" spans="1:11" s="391" customFormat="1" ht="13">
      <c r="A9" s="395" t="s">
        <v>602</v>
      </c>
      <c r="B9" s="392">
        <f>'Sources and Uses Budget'!C9</f>
        <v>0</v>
      </c>
      <c r="C9" s="393">
        <f t="shared" ref="C9:C10" si="1">B9</f>
        <v>0</v>
      </c>
      <c r="D9" s="393"/>
      <c r="E9" s="394"/>
      <c r="F9" s="394"/>
      <c r="G9" s="394"/>
      <c r="H9" s="392">
        <f>'Sources and Uses Budget'!T9</f>
        <v>0</v>
      </c>
      <c r="I9" s="393"/>
      <c r="J9" s="393"/>
      <c r="K9" s="390"/>
    </row>
    <row r="10" spans="1:11" s="391" customFormat="1" ht="13">
      <c r="A10" s="395" t="s">
        <v>603</v>
      </c>
      <c r="B10" s="392">
        <f>'Sources and Uses Budget'!C10</f>
        <v>125000</v>
      </c>
      <c r="C10" s="393">
        <f t="shared" si="1"/>
        <v>125000</v>
      </c>
      <c r="D10" s="393"/>
      <c r="E10" s="392">
        <f>'Sources and Uses Budget'!S10</f>
        <v>125000</v>
      </c>
      <c r="F10" s="393"/>
      <c r="G10" s="393"/>
      <c r="H10" s="392">
        <f>'Sources and Uses Budget'!T10</f>
        <v>0</v>
      </c>
      <c r="I10" s="393"/>
      <c r="J10" s="393"/>
      <c r="K10" s="390"/>
    </row>
    <row r="11" spans="1:11" s="391" customFormat="1" ht="13">
      <c r="A11" s="396" t="s">
        <v>604</v>
      </c>
      <c r="B11" s="392">
        <f>'Sources and Uses Budget'!C11</f>
        <v>125000</v>
      </c>
      <c r="C11" s="392">
        <f>SUM(C9:C10)</f>
        <v>125000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4850000</v>
      </c>
      <c r="C12" s="392">
        <f>SUM(C8+C11)</f>
        <v>4850000</v>
      </c>
      <c r="D12" s="392">
        <f>SUM(D8+D11)</f>
        <v>0</v>
      </c>
      <c r="E12" s="394"/>
      <c r="F12" s="394"/>
      <c r="G12" s="394"/>
      <c r="H12" s="394"/>
      <c r="I12" s="394"/>
      <c r="J12" s="394"/>
      <c r="K12" s="390"/>
    </row>
    <row r="13" spans="1:11" s="391" customFormat="1">
      <c r="A13" s="397" t="s">
        <v>917</v>
      </c>
      <c r="B13" s="392">
        <f>'Sources and Uses Budget'!C13</f>
        <v>216490</v>
      </c>
      <c r="C13" s="393">
        <f t="shared" ref="C13:C15" si="2">B13</f>
        <v>216490</v>
      </c>
      <c r="D13" s="393"/>
      <c r="E13" s="392">
        <f>'Sources and Uses Budget'!S13</f>
        <v>158490</v>
      </c>
      <c r="F13" s="393"/>
      <c r="G13" s="393"/>
      <c r="H13" s="392">
        <f>'Sources and Uses Budget'!T13</f>
        <v>0</v>
      </c>
      <c r="I13" s="393"/>
      <c r="J13" s="393"/>
      <c r="K13" s="390"/>
    </row>
    <row r="14" spans="1:11" s="391" customFormat="1" ht="26">
      <c r="A14" s="395" t="s">
        <v>918</v>
      </c>
      <c r="B14" s="392">
        <f>'Sources and Uses Budget'!C14</f>
        <v>0</v>
      </c>
      <c r="C14" s="393">
        <f t="shared" si="2"/>
        <v>0</v>
      </c>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f t="shared" si="2"/>
        <v>0</v>
      </c>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1230000</v>
      </c>
      <c r="C29" s="393">
        <f t="shared" ref="C29:C37" si="3">B29</f>
        <v>1230000</v>
      </c>
      <c r="D29" s="393"/>
      <c r="E29" s="392">
        <f>'Sources and Uses Budget'!S29</f>
        <v>1230000</v>
      </c>
      <c r="F29" s="393"/>
      <c r="G29" s="393"/>
      <c r="H29" s="392">
        <f>'Sources and Uses Budget'!T29</f>
        <v>0</v>
      </c>
      <c r="I29" s="393"/>
      <c r="J29" s="393"/>
      <c r="K29" s="390"/>
    </row>
    <row r="30" spans="1:11" s="391" customFormat="1" ht="13">
      <c r="A30" s="145" t="s">
        <v>607</v>
      </c>
      <c r="B30" s="392">
        <f>'Sources and Uses Budget'!C30</f>
        <v>25212200</v>
      </c>
      <c r="C30" s="393">
        <f t="shared" si="3"/>
        <v>25212200</v>
      </c>
      <c r="D30" s="393"/>
      <c r="E30" s="392">
        <f>'Sources and Uses Budget'!S30</f>
        <v>25212200</v>
      </c>
      <c r="F30" s="393"/>
      <c r="G30" s="393"/>
      <c r="H30" s="392">
        <f>'Sources and Uses Budget'!T30</f>
        <v>0</v>
      </c>
      <c r="I30" s="393"/>
      <c r="J30" s="393"/>
      <c r="K30" s="390"/>
    </row>
    <row r="31" spans="1:11" s="391" customFormat="1" ht="13">
      <c r="A31" s="145" t="s">
        <v>608</v>
      </c>
      <c r="B31" s="392">
        <f>'Sources and Uses Budget'!C31</f>
        <v>1343360</v>
      </c>
      <c r="C31" s="393">
        <f t="shared" si="3"/>
        <v>1343360</v>
      </c>
      <c r="D31" s="393"/>
      <c r="E31" s="392">
        <f>'Sources and Uses Budget'!S31</f>
        <v>1343360</v>
      </c>
      <c r="F31" s="393"/>
      <c r="G31" s="393"/>
      <c r="H31" s="392">
        <f>'Sources and Uses Budget'!T31</f>
        <v>0</v>
      </c>
      <c r="I31" s="393"/>
      <c r="J31" s="393"/>
      <c r="K31" s="390"/>
    </row>
    <row r="32" spans="1:11" s="391" customFormat="1" ht="13">
      <c r="A32" s="145" t="s">
        <v>137</v>
      </c>
      <c r="B32" s="392">
        <f>'Sources and Uses Budget'!C32</f>
        <v>1209024</v>
      </c>
      <c r="C32" s="393">
        <f t="shared" si="3"/>
        <v>1209024</v>
      </c>
      <c r="D32" s="393"/>
      <c r="E32" s="392">
        <f>'Sources and Uses Budget'!S32</f>
        <v>1209024</v>
      </c>
      <c r="F32" s="393"/>
      <c r="G32" s="393"/>
      <c r="H32" s="392">
        <f>'Sources and Uses Budget'!T32</f>
        <v>0</v>
      </c>
      <c r="I32" s="393"/>
      <c r="J32" s="393"/>
      <c r="K32" s="390"/>
    </row>
    <row r="33" spans="1:11" s="391" customFormat="1" ht="13">
      <c r="A33" s="145" t="s">
        <v>138</v>
      </c>
      <c r="B33" s="392">
        <f>'Sources and Uses Budget'!C33</f>
        <v>1209024</v>
      </c>
      <c r="C33" s="393">
        <f t="shared" si="3"/>
        <v>1209024</v>
      </c>
      <c r="D33" s="393"/>
      <c r="E33" s="392">
        <f>'Sources and Uses Budget'!S33</f>
        <v>1209024</v>
      </c>
      <c r="F33" s="393"/>
      <c r="G33" s="393"/>
      <c r="H33" s="392">
        <f>'Sources and Uses Budget'!T33</f>
        <v>0</v>
      </c>
      <c r="I33" s="393"/>
      <c r="J33" s="393"/>
      <c r="K33" s="390"/>
    </row>
    <row r="34" spans="1:11" s="391" customFormat="1" ht="13">
      <c r="A34" s="145" t="s">
        <v>139</v>
      </c>
      <c r="B34" s="392">
        <f>'Sources and Uses Budget'!C34</f>
        <v>0</v>
      </c>
      <c r="C34" s="393">
        <f t="shared" si="3"/>
        <v>0</v>
      </c>
      <c r="D34" s="393"/>
      <c r="E34" s="392">
        <f>'Sources and Uses Budget'!S34</f>
        <v>0</v>
      </c>
      <c r="F34" s="393"/>
      <c r="G34" s="393"/>
      <c r="H34" s="392">
        <f>'Sources and Uses Budget'!T34</f>
        <v>0</v>
      </c>
      <c r="I34" s="393"/>
      <c r="J34" s="393"/>
      <c r="K34" s="390"/>
    </row>
    <row r="35" spans="1:11" s="391" customFormat="1" ht="13">
      <c r="A35" s="145" t="s">
        <v>140</v>
      </c>
      <c r="B35" s="392">
        <f>'Sources and Uses Budget'!C35</f>
        <v>1221754</v>
      </c>
      <c r="C35" s="393">
        <f t="shared" si="3"/>
        <v>1221754</v>
      </c>
      <c r="D35" s="393"/>
      <c r="E35" s="392">
        <f>'Sources and Uses Budget'!S35</f>
        <v>1221754</v>
      </c>
      <c r="F35" s="393"/>
      <c r="G35" s="393"/>
      <c r="H35" s="392">
        <f>'Sources and Uses Budget'!T35</f>
        <v>0</v>
      </c>
      <c r="I35" s="393"/>
      <c r="J35" s="393"/>
      <c r="K35" s="390"/>
    </row>
    <row r="36" spans="1:11" s="391" customFormat="1" ht="13">
      <c r="A36" s="542" t="s">
        <v>1753</v>
      </c>
      <c r="B36" s="392">
        <f>'Sources and Uses Budget'!C36</f>
        <v>192000</v>
      </c>
      <c r="C36" s="393">
        <f t="shared" si="3"/>
        <v>192000</v>
      </c>
      <c r="D36" s="393"/>
      <c r="E36" s="392">
        <f>'Sources and Uses Budget'!S36</f>
        <v>192000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f t="shared" si="3"/>
        <v>0</v>
      </c>
      <c r="D37" s="393"/>
      <c r="E37" s="392">
        <f>'Sources and Uses Budget'!S37</f>
        <v>0</v>
      </c>
      <c r="F37" s="393"/>
      <c r="G37" s="393"/>
      <c r="H37" s="392">
        <f>'Sources and Uses Budget'!T37</f>
        <v>0</v>
      </c>
      <c r="I37" s="393"/>
      <c r="J37" s="393"/>
      <c r="K37" s="390"/>
    </row>
    <row r="38" spans="1:11" s="391" customFormat="1" ht="13">
      <c r="A38" s="396" t="s">
        <v>143</v>
      </c>
      <c r="B38" s="392">
        <f>'Sources and Uses Budget'!C38</f>
        <v>31617362</v>
      </c>
      <c r="C38" s="392">
        <f>SUM(C29:C37)</f>
        <v>31617362</v>
      </c>
      <c r="D38" s="392">
        <f>SUM(D29:D37)</f>
        <v>0</v>
      </c>
      <c r="E38" s="392">
        <f>'Sources and Uses Budget'!S38</f>
        <v>31617362</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2500000</v>
      </c>
      <c r="C40" s="393">
        <f t="shared" ref="C40:C41" si="4">B40</f>
        <v>2500000</v>
      </c>
      <c r="D40" s="393"/>
      <c r="E40" s="392">
        <f>'Sources and Uses Budget'!S40</f>
        <v>2500000</v>
      </c>
      <c r="F40" s="393"/>
      <c r="G40" s="393"/>
      <c r="H40" s="392">
        <f>'Sources and Uses Budget'!T40</f>
        <v>0</v>
      </c>
      <c r="I40" s="393"/>
      <c r="J40" s="393"/>
      <c r="K40" s="390"/>
    </row>
    <row r="41" spans="1:11" s="391" customFormat="1" ht="13">
      <c r="A41" s="395" t="s">
        <v>146</v>
      </c>
      <c r="B41" s="392">
        <f>'Sources and Uses Budget'!C41</f>
        <v>240000</v>
      </c>
      <c r="C41" s="393">
        <f t="shared" si="4"/>
        <v>240000</v>
      </c>
      <c r="D41" s="393"/>
      <c r="E41" s="392">
        <f>'Sources and Uses Budget'!S41</f>
        <v>240000</v>
      </c>
      <c r="F41" s="393"/>
      <c r="G41" s="393"/>
      <c r="H41" s="392">
        <f>'Sources and Uses Budget'!T41</f>
        <v>0</v>
      </c>
      <c r="I41" s="393"/>
      <c r="J41" s="393"/>
      <c r="K41" s="390"/>
    </row>
    <row r="42" spans="1:11" s="391" customFormat="1" ht="13">
      <c r="A42" s="396" t="s">
        <v>147</v>
      </c>
      <c r="B42" s="392">
        <f>'Sources and Uses Budget'!C42</f>
        <v>2740000</v>
      </c>
      <c r="C42" s="392">
        <f>SUM(C39:C41)</f>
        <v>2740000</v>
      </c>
      <c r="D42" s="392">
        <f>SUM(D39:D41)</f>
        <v>0</v>
      </c>
      <c r="E42" s="392">
        <f>'Sources and Uses Budget'!S42</f>
        <v>2740000</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350000</v>
      </c>
      <c r="C43" s="393">
        <f>B43</f>
        <v>350000</v>
      </c>
      <c r="D43" s="393"/>
      <c r="E43" s="392">
        <f>'Sources and Uses Budget'!S43</f>
        <v>350000</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5286748</v>
      </c>
      <c r="C45" s="393">
        <f t="shared" ref="C45:C53" si="5">B45</f>
        <v>5286748</v>
      </c>
      <c r="D45" s="393"/>
      <c r="E45" s="392">
        <f>'Sources and Uses Budget'!S45</f>
        <v>3309420</v>
      </c>
      <c r="F45" s="393"/>
      <c r="G45" s="393"/>
      <c r="H45" s="392">
        <f>'Sources and Uses Budget'!T45</f>
        <v>0</v>
      </c>
      <c r="I45" s="393"/>
      <c r="J45" s="393"/>
      <c r="K45" s="390"/>
    </row>
    <row r="46" spans="1:11" s="391" customFormat="1" ht="13">
      <c r="A46" s="395" t="s">
        <v>151</v>
      </c>
      <c r="B46" s="392">
        <f>'Sources and Uses Budget'!C46</f>
        <v>293587</v>
      </c>
      <c r="C46" s="393">
        <f t="shared" si="5"/>
        <v>293587</v>
      </c>
      <c r="D46" s="393"/>
      <c r="E46" s="392">
        <f>'Sources and Uses Budget'!S46</f>
        <v>176393</v>
      </c>
      <c r="F46" s="393"/>
      <c r="G46" s="393"/>
      <c r="H46" s="392">
        <f>'Sources and Uses Budget'!T46</f>
        <v>0</v>
      </c>
      <c r="I46" s="393"/>
      <c r="J46" s="393"/>
      <c r="K46" s="390"/>
    </row>
    <row r="47" spans="1:11" s="391" customFormat="1" ht="12" customHeight="1">
      <c r="A47" s="395" t="s">
        <v>152</v>
      </c>
      <c r="B47" s="392">
        <f>'Sources and Uses Budget'!C47</f>
        <v>42500</v>
      </c>
      <c r="C47" s="393">
        <f t="shared" si="5"/>
        <v>42500</v>
      </c>
      <c r="D47" s="393"/>
      <c r="E47" s="392">
        <f>'Sources and Uses Budget'!S47</f>
        <v>26990</v>
      </c>
      <c r="F47" s="393"/>
      <c r="G47" s="393"/>
      <c r="H47" s="392">
        <f>'Sources and Uses Budget'!T47</f>
        <v>0</v>
      </c>
      <c r="I47" s="393"/>
      <c r="J47" s="393"/>
      <c r="K47" s="390"/>
    </row>
    <row r="48" spans="1:11" s="391" customFormat="1" ht="13">
      <c r="A48" s="395" t="s">
        <v>153</v>
      </c>
      <c r="B48" s="392">
        <f>'Sources and Uses Budget'!C48</f>
        <v>0</v>
      </c>
      <c r="C48" s="393">
        <f t="shared" si="5"/>
        <v>0</v>
      </c>
      <c r="D48" s="393"/>
      <c r="E48" s="392">
        <f>'Sources and Uses Budget'!S48</f>
        <v>0</v>
      </c>
      <c r="F48" s="393"/>
      <c r="G48" s="393"/>
      <c r="H48" s="392">
        <f>'Sources and Uses Budget'!T48</f>
        <v>0</v>
      </c>
      <c r="I48" s="393"/>
      <c r="J48" s="393"/>
      <c r="K48" s="390"/>
    </row>
    <row r="49" spans="1:11" s="391" customFormat="1" ht="13">
      <c r="A49" s="304" t="s">
        <v>57</v>
      </c>
      <c r="B49" s="392">
        <f>'Sources and Uses Budget'!C49</f>
        <v>100320</v>
      </c>
      <c r="C49" s="393">
        <f t="shared" si="5"/>
        <v>100320</v>
      </c>
      <c r="D49" s="393"/>
      <c r="E49" s="392">
        <f>'Sources and Uses Budget'!S49</f>
        <v>19408</v>
      </c>
      <c r="F49" s="393"/>
      <c r="G49" s="393"/>
      <c r="H49" s="392">
        <f>'Sources and Uses Budget'!T49</f>
        <v>0</v>
      </c>
      <c r="I49" s="393"/>
      <c r="J49" s="393"/>
      <c r="K49" s="390"/>
    </row>
    <row r="50" spans="1:11" s="391" customFormat="1" ht="13">
      <c r="A50" s="395" t="s">
        <v>156</v>
      </c>
      <c r="B50" s="392">
        <f>'Sources and Uses Budget'!C50</f>
        <v>120000</v>
      </c>
      <c r="C50" s="393">
        <f t="shared" si="5"/>
        <v>120000</v>
      </c>
      <c r="D50" s="393"/>
      <c r="E50" s="392">
        <f>'Sources and Uses Budget'!S50</f>
        <v>120000</v>
      </c>
      <c r="F50" s="393"/>
      <c r="G50" s="393"/>
      <c r="H50" s="392">
        <f>'Sources and Uses Budget'!T50</f>
        <v>0</v>
      </c>
      <c r="I50" s="393"/>
      <c r="J50" s="393"/>
      <c r="K50" s="390"/>
    </row>
    <row r="51" spans="1:11" s="391" customFormat="1" ht="13">
      <c r="A51" s="395" t="s">
        <v>154</v>
      </c>
      <c r="B51" s="392">
        <f>'Sources and Uses Budget'!C51</f>
        <v>52369</v>
      </c>
      <c r="C51" s="393">
        <f t="shared" si="5"/>
        <v>52369</v>
      </c>
      <c r="D51" s="393"/>
      <c r="E51" s="392">
        <f>'Sources and Uses Budget'!S51</f>
        <v>52369</v>
      </c>
      <c r="F51" s="393"/>
      <c r="G51" s="393"/>
      <c r="H51" s="392">
        <f>'Sources and Uses Budget'!T51</f>
        <v>0</v>
      </c>
      <c r="I51" s="393"/>
      <c r="J51" s="393"/>
      <c r="K51" s="390"/>
    </row>
    <row r="52" spans="1:11" s="391" customFormat="1" ht="13">
      <c r="A52" s="395" t="s">
        <v>155</v>
      </c>
      <c r="B52" s="392">
        <f>'Sources and Uses Budget'!C52</f>
        <v>1131564</v>
      </c>
      <c r="C52" s="393">
        <f t="shared" si="5"/>
        <v>1131564</v>
      </c>
      <c r="D52" s="393"/>
      <c r="E52" s="392">
        <f>'Sources and Uses Budget'!S52</f>
        <v>1131564</v>
      </c>
      <c r="F52" s="393"/>
      <c r="G52" s="393"/>
      <c r="H52" s="392">
        <f>'Sources and Uses Budget'!T52</f>
        <v>0</v>
      </c>
      <c r="I52" s="393"/>
      <c r="J52" s="393"/>
      <c r="K52" s="390"/>
    </row>
    <row r="53" spans="1:11" s="391" customFormat="1" ht="13">
      <c r="A53" s="395" t="str">
        <f>'Sources and Uses Budget'!$A53</f>
        <v>Construction lender expenses</v>
      </c>
      <c r="B53" s="392">
        <f>'Sources and Uses Budget'!C53</f>
        <v>133000</v>
      </c>
      <c r="C53" s="393">
        <f t="shared" si="5"/>
        <v>133000</v>
      </c>
      <c r="D53" s="393"/>
      <c r="E53" s="392">
        <f>'Sources and Uses Budget'!S53</f>
        <v>76651</v>
      </c>
      <c r="F53" s="393"/>
      <c r="G53" s="393"/>
      <c r="H53" s="392">
        <f>'Sources and Uses Budget'!T53</f>
        <v>0</v>
      </c>
      <c r="I53" s="393"/>
      <c r="J53" s="393"/>
      <c r="K53" s="390"/>
    </row>
    <row r="54" spans="1:11" s="400" customFormat="1" ht="13">
      <c r="A54" s="396" t="s">
        <v>157</v>
      </c>
      <c r="B54" s="392">
        <f>'Sources and Uses Budget'!C54</f>
        <v>7160088</v>
      </c>
      <c r="C54" s="398">
        <f>SUM(C45:C53)</f>
        <v>7160088</v>
      </c>
      <c r="D54" s="398">
        <f>SUM(D45:D53)</f>
        <v>0</v>
      </c>
      <c r="E54" s="392">
        <f>'Sources and Uses Budget'!S54</f>
        <v>4912795</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82770</v>
      </c>
      <c r="C56" s="393">
        <f t="shared" ref="C56:C61" si="6">B56</f>
        <v>82770</v>
      </c>
      <c r="D56" s="393"/>
      <c r="E56" s="394"/>
      <c r="F56" s="394"/>
      <c r="G56" s="394"/>
      <c r="H56" s="394"/>
      <c r="I56" s="394"/>
      <c r="J56" s="394"/>
      <c r="K56" s="390"/>
    </row>
    <row r="57" spans="1:11" s="391" customFormat="1" ht="12" customHeight="1">
      <c r="A57" s="395" t="s">
        <v>152</v>
      </c>
      <c r="B57" s="392">
        <f>'Sources and Uses Budget'!C57</f>
        <v>0</v>
      </c>
      <c r="C57" s="393">
        <f t="shared" si="6"/>
        <v>0</v>
      </c>
      <c r="D57" s="393"/>
      <c r="E57" s="394"/>
      <c r="F57" s="394"/>
      <c r="G57" s="394"/>
      <c r="H57" s="394"/>
      <c r="I57" s="394"/>
      <c r="J57" s="394"/>
      <c r="K57" s="390"/>
    </row>
    <row r="58" spans="1:11" s="391" customFormat="1" ht="13">
      <c r="A58" s="395" t="s">
        <v>156</v>
      </c>
      <c r="B58" s="392">
        <f>'Sources and Uses Budget'!C58</f>
        <v>15000</v>
      </c>
      <c r="C58" s="393">
        <f t="shared" si="6"/>
        <v>15000</v>
      </c>
      <c r="D58" s="393"/>
      <c r="E58" s="394"/>
      <c r="F58" s="394"/>
      <c r="G58" s="394"/>
      <c r="H58" s="394"/>
      <c r="I58" s="394"/>
      <c r="J58" s="394"/>
      <c r="K58" s="390"/>
    </row>
    <row r="59" spans="1:11" s="391" customFormat="1" ht="13">
      <c r="A59" s="395" t="s">
        <v>154</v>
      </c>
      <c r="B59" s="392">
        <f>'Sources and Uses Budget'!C59</f>
        <v>0</v>
      </c>
      <c r="C59" s="393">
        <f t="shared" si="6"/>
        <v>0</v>
      </c>
      <c r="D59" s="393"/>
      <c r="E59" s="394"/>
      <c r="F59" s="394"/>
      <c r="G59" s="394"/>
      <c r="H59" s="394"/>
      <c r="I59" s="394"/>
      <c r="J59" s="394"/>
      <c r="K59" s="390"/>
    </row>
    <row r="60" spans="1:11" s="391" customFormat="1" ht="13">
      <c r="A60" s="395" t="s">
        <v>155</v>
      </c>
      <c r="B60" s="392">
        <f>'Sources and Uses Budget'!C60</f>
        <v>0</v>
      </c>
      <c r="C60" s="393">
        <f t="shared" si="6"/>
        <v>0</v>
      </c>
      <c r="D60" s="393"/>
      <c r="E60" s="394"/>
      <c r="F60" s="394"/>
      <c r="G60" s="394"/>
      <c r="H60" s="394"/>
      <c r="I60" s="394"/>
      <c r="J60" s="394"/>
      <c r="K60" s="390"/>
    </row>
    <row r="61" spans="1:11" s="391" customFormat="1" ht="13">
      <c r="A61" s="395" t="str">
        <f>'Sources and Uses Budget'!$A61</f>
        <v>Perm lender expenses</v>
      </c>
      <c r="B61" s="392">
        <f>'Sources and Uses Budget'!C61</f>
        <v>10000</v>
      </c>
      <c r="C61" s="393">
        <f t="shared" si="6"/>
        <v>10000</v>
      </c>
      <c r="D61" s="393"/>
      <c r="E61" s="394"/>
      <c r="F61" s="394"/>
      <c r="G61" s="394"/>
      <c r="H61" s="394"/>
      <c r="I61" s="394"/>
      <c r="J61" s="394"/>
      <c r="K61" s="390"/>
    </row>
    <row r="62" spans="1:11" s="391" customFormat="1" ht="13.75" customHeight="1">
      <c r="A62" s="396" t="s">
        <v>301</v>
      </c>
      <c r="B62" s="392">
        <f>'Sources and Uses Budget'!C62</f>
        <v>107770</v>
      </c>
      <c r="C62" s="392">
        <f>SUM(C56:C61)</f>
        <v>107770</v>
      </c>
      <c r="D62" s="392">
        <f>SUM(D56:D61)</f>
        <v>0</v>
      </c>
      <c r="E62" s="394"/>
      <c r="F62" s="394"/>
      <c r="G62" s="394"/>
      <c r="H62" s="394"/>
      <c r="I62" s="394"/>
      <c r="J62" s="394"/>
      <c r="K62" s="390"/>
    </row>
    <row r="63" spans="1:11" s="391" customFormat="1" ht="13">
      <c r="A63" s="401" t="s">
        <v>302</v>
      </c>
      <c r="B63" s="392">
        <f>'Sources and Uses Budget'!C63</f>
        <v>47041710</v>
      </c>
      <c r="C63" s="392">
        <f>SUM(C8+C11+C13+C14+C15+C26+C27+C38+C42+C43+C54+C62)</f>
        <v>47041710</v>
      </c>
      <c r="D63" s="392">
        <f>SUM(D8+D11+D13+D14+D15+D26+D27+D38+D42+D43+D54+D62)</f>
        <v>0</v>
      </c>
      <c r="E63" s="392">
        <f>'Sources and Uses Budget'!S63</f>
        <v>39903647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135000</v>
      </c>
      <c r="C65" s="393">
        <f t="shared" ref="C65:C69" si="7">B65</f>
        <v>135000</v>
      </c>
      <c r="D65" s="393"/>
      <c r="E65" s="392">
        <f>'Sources and Uses Budget'!S65</f>
        <v>47657</v>
      </c>
      <c r="F65" s="393"/>
      <c r="G65" s="393"/>
      <c r="H65" s="392">
        <f>'Sources and Uses Budget'!T65</f>
        <v>0</v>
      </c>
      <c r="I65" s="393"/>
      <c r="J65" s="393"/>
      <c r="K65" s="390"/>
    </row>
    <row r="66" spans="1:11" s="391" customFormat="1" ht="26">
      <c r="A66" s="304" t="s">
        <v>1754</v>
      </c>
      <c r="B66" s="392">
        <f>'Sources and Uses Budget'!C66</f>
        <v>0</v>
      </c>
      <c r="C66" s="393">
        <f t="shared" si="7"/>
        <v>0</v>
      </c>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f t="shared" si="7"/>
        <v>0</v>
      </c>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f t="shared" si="7"/>
        <v>0</v>
      </c>
      <c r="D68" s="393"/>
      <c r="E68" s="392">
        <f>'Sources and Uses Budget'!S68</f>
        <v>0</v>
      </c>
      <c r="F68" s="393"/>
      <c r="G68" s="393"/>
      <c r="H68" s="392">
        <f>'Sources and Uses Budget'!T68</f>
        <v>0</v>
      </c>
      <c r="I68" s="393"/>
      <c r="J68" s="393"/>
      <c r="K68" s="390"/>
    </row>
    <row r="69" spans="1:11" s="391" customFormat="1" ht="13">
      <c r="A69" s="395" t="str">
        <f>'Sources and Uses Budget'!$A69</f>
        <v>Other: Owner legal</v>
      </c>
      <c r="B69" s="392">
        <f>'Sources and Uses Budget'!C69</f>
        <v>55000</v>
      </c>
      <c r="C69" s="393">
        <f t="shared" si="7"/>
        <v>55000</v>
      </c>
      <c r="D69" s="393"/>
      <c r="E69" s="392">
        <f>'Sources and Uses Budget'!S69</f>
        <v>40000</v>
      </c>
      <c r="F69" s="393"/>
      <c r="G69" s="393"/>
      <c r="H69" s="392">
        <f>'Sources and Uses Budget'!T69</f>
        <v>0</v>
      </c>
      <c r="I69" s="393"/>
      <c r="J69" s="393"/>
      <c r="K69" s="390"/>
    </row>
    <row r="70" spans="1:11" s="391" customFormat="1" ht="13">
      <c r="A70" s="396" t="s">
        <v>609</v>
      </c>
      <c r="B70" s="392">
        <f>'Sources and Uses Budget'!C70</f>
        <v>190000</v>
      </c>
      <c r="C70" s="392">
        <f>SUM(C64:C69)</f>
        <v>190000</v>
      </c>
      <c r="D70" s="392">
        <f>SUM(D64:D69)</f>
        <v>0</v>
      </c>
      <c r="E70" s="392">
        <f>'Sources and Uses Budget'!S70</f>
        <v>87657</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f t="shared" ref="C72:C76" si="8">B72</f>
        <v>0</v>
      </c>
      <c r="D72" s="393"/>
      <c r="E72" s="394"/>
      <c r="F72" s="394"/>
      <c r="G72" s="394"/>
      <c r="H72" s="394"/>
      <c r="I72" s="394"/>
      <c r="J72" s="394"/>
      <c r="K72" s="390"/>
    </row>
    <row r="73" spans="1:11" s="391" customFormat="1" ht="13">
      <c r="A73" s="395" t="s">
        <v>612</v>
      </c>
      <c r="B73" s="392">
        <f>'Sources and Uses Budget'!C73</f>
        <v>0</v>
      </c>
      <c r="C73" s="393">
        <f t="shared" si="8"/>
        <v>0</v>
      </c>
      <c r="D73" s="393"/>
      <c r="E73" s="394"/>
      <c r="F73" s="394"/>
      <c r="G73" s="394"/>
      <c r="H73" s="394"/>
      <c r="I73" s="394"/>
      <c r="J73" s="394"/>
      <c r="K73" s="390"/>
    </row>
    <row r="74" spans="1:11" s="391" customFormat="1">
      <c r="A74" s="397" t="s">
        <v>1007</v>
      </c>
      <c r="B74" s="392">
        <f>'Sources and Uses Budget'!C74</f>
        <v>0</v>
      </c>
      <c r="C74" s="393">
        <f t="shared" si="8"/>
        <v>0</v>
      </c>
      <c r="D74" s="393"/>
      <c r="E74" s="394"/>
      <c r="F74" s="394"/>
      <c r="G74" s="394"/>
      <c r="H74" s="394"/>
      <c r="I74" s="394"/>
      <c r="J74" s="394"/>
      <c r="K74" s="390"/>
    </row>
    <row r="75" spans="1:11" s="391" customFormat="1" ht="13">
      <c r="A75" s="395" t="s">
        <v>613</v>
      </c>
      <c r="B75" s="392">
        <f>'Sources and Uses Budget'!C75</f>
        <v>339521</v>
      </c>
      <c r="C75" s="393">
        <f t="shared" si="8"/>
        <v>339521</v>
      </c>
      <c r="D75" s="393"/>
      <c r="E75" s="394"/>
      <c r="F75" s="394"/>
      <c r="G75" s="394"/>
      <c r="H75" s="394"/>
      <c r="I75" s="394"/>
      <c r="J75" s="394"/>
      <c r="K75" s="390"/>
    </row>
    <row r="76" spans="1:11" s="391" customFormat="1" ht="13">
      <c r="A76" s="395" t="str">
        <f>'Sources and Uses Budget'!$A76</f>
        <v>Other: (Specify)</v>
      </c>
      <c r="B76" s="392">
        <f>'Sources and Uses Budget'!C76</f>
        <v>0</v>
      </c>
      <c r="C76" s="393">
        <f t="shared" si="8"/>
        <v>0</v>
      </c>
      <c r="D76" s="393"/>
      <c r="E76" s="394"/>
      <c r="F76" s="394"/>
      <c r="G76" s="394"/>
      <c r="H76" s="394"/>
      <c r="I76" s="394"/>
      <c r="J76" s="394"/>
      <c r="K76" s="390"/>
    </row>
    <row r="77" spans="1:11" s="391" customFormat="1" ht="13">
      <c r="A77" s="396" t="s">
        <v>614</v>
      </c>
      <c r="B77" s="392">
        <f>'Sources and Uses Budget'!C77</f>
        <v>339521</v>
      </c>
      <c r="C77" s="392">
        <f>SUM(C72:C76)</f>
        <v>339521</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1592518</v>
      </c>
      <c r="C79" s="393">
        <f t="shared" ref="C79:C80" si="9">B79</f>
        <v>1592518</v>
      </c>
      <c r="D79" s="393"/>
      <c r="E79" s="392">
        <f>'Sources and Uses Budget'!S79</f>
        <v>1592518</v>
      </c>
      <c r="F79" s="393"/>
      <c r="G79" s="393"/>
      <c r="H79" s="392">
        <f>'Sources and Uses Budget'!T79</f>
        <v>0</v>
      </c>
      <c r="I79" s="393"/>
      <c r="J79" s="393"/>
      <c r="K79" s="390"/>
    </row>
    <row r="80" spans="1:11" s="391" customFormat="1" ht="13">
      <c r="A80" s="395" t="s">
        <v>58</v>
      </c>
      <c r="B80" s="392">
        <f>'Sources and Uses Budget'!C80</f>
        <v>351282</v>
      </c>
      <c r="C80" s="393">
        <f t="shared" si="9"/>
        <v>351282</v>
      </c>
      <c r="D80" s="393"/>
      <c r="E80" s="392">
        <f>'Sources and Uses Budget'!S80</f>
        <v>351282</v>
      </c>
      <c r="F80" s="393"/>
      <c r="G80" s="393"/>
      <c r="H80" s="392">
        <f>'Sources and Uses Budget'!T80</f>
        <v>0</v>
      </c>
      <c r="I80" s="393"/>
      <c r="J80" s="393"/>
      <c r="K80" s="390"/>
    </row>
    <row r="81" spans="1:11" s="391" customFormat="1" ht="13">
      <c r="A81" s="396" t="s">
        <v>1315</v>
      </c>
      <c r="B81" s="392">
        <f>'Sources and Uses Budget'!C81</f>
        <v>1943800</v>
      </c>
      <c r="C81" s="392">
        <f>SUM(C79:C80)</f>
        <v>1943800</v>
      </c>
      <c r="D81" s="392">
        <f>SUM(D79:D80)</f>
        <v>0</v>
      </c>
      <c r="E81" s="392">
        <f>'Sources and Uses Budget'!S81</f>
        <v>1943800</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85218</v>
      </c>
      <c r="C83" s="393">
        <f t="shared" ref="C83:C95" si="10">B83</f>
        <v>85218</v>
      </c>
      <c r="D83" s="393"/>
      <c r="E83" s="394"/>
      <c r="F83" s="394"/>
      <c r="G83" s="394"/>
      <c r="H83" s="394"/>
      <c r="I83" s="394"/>
      <c r="J83" s="394"/>
      <c r="K83" s="390"/>
    </row>
    <row r="84" spans="1:11" s="391" customFormat="1" ht="13">
      <c r="A84" s="145" t="s">
        <v>776</v>
      </c>
      <c r="B84" s="392">
        <f>'Sources and Uses Budget'!C84</f>
        <v>155000</v>
      </c>
      <c r="C84" s="393">
        <f t="shared" si="10"/>
        <v>155000</v>
      </c>
      <c r="D84" s="393"/>
      <c r="E84" s="392">
        <f>'Sources and Uses Budget'!S84</f>
        <v>155000</v>
      </c>
      <c r="F84" s="393"/>
      <c r="G84" s="393"/>
      <c r="H84" s="392">
        <f>'Sources and Uses Budget'!T84</f>
        <v>0</v>
      </c>
      <c r="I84" s="393"/>
      <c r="J84" s="393"/>
      <c r="K84" s="390"/>
    </row>
    <row r="85" spans="1:11" s="391" customFormat="1" ht="13">
      <c r="A85" s="145" t="s">
        <v>777</v>
      </c>
      <c r="B85" s="392">
        <f>'Sources and Uses Budget'!C85</f>
        <v>533000</v>
      </c>
      <c r="C85" s="393">
        <f t="shared" si="10"/>
        <v>533000</v>
      </c>
      <c r="D85" s="393"/>
      <c r="E85" s="392">
        <f>'Sources and Uses Budget'!S85</f>
        <v>533000</v>
      </c>
      <c r="F85" s="393"/>
      <c r="G85" s="393"/>
      <c r="H85" s="392">
        <f>'Sources and Uses Budget'!T85</f>
        <v>0</v>
      </c>
      <c r="I85" s="393"/>
      <c r="J85" s="393"/>
      <c r="K85" s="390"/>
    </row>
    <row r="86" spans="1:11" s="391" customFormat="1" ht="13">
      <c r="A86" s="145" t="s">
        <v>778</v>
      </c>
      <c r="B86" s="392">
        <f>'Sources and Uses Budget'!C86</f>
        <v>1066000</v>
      </c>
      <c r="C86" s="393">
        <f t="shared" si="10"/>
        <v>1066000</v>
      </c>
      <c r="D86" s="393"/>
      <c r="E86" s="392">
        <f>'Sources and Uses Budget'!S86</f>
        <v>1066000</v>
      </c>
      <c r="F86" s="393"/>
      <c r="G86" s="393"/>
      <c r="H86" s="392">
        <f>'Sources and Uses Budget'!T86</f>
        <v>0</v>
      </c>
      <c r="I86" s="393"/>
      <c r="J86" s="393"/>
      <c r="K86" s="390"/>
    </row>
    <row r="87" spans="1:11" s="391" customFormat="1" ht="13">
      <c r="A87" s="145" t="s">
        <v>779</v>
      </c>
      <c r="B87" s="392">
        <f>'Sources and Uses Budget'!C87</f>
        <v>0</v>
      </c>
      <c r="C87" s="393">
        <f t="shared" si="10"/>
        <v>0</v>
      </c>
      <c r="D87" s="393"/>
      <c r="E87" s="392">
        <f>'Sources and Uses Budget'!S87</f>
        <v>0</v>
      </c>
      <c r="F87" s="393"/>
      <c r="G87" s="393"/>
      <c r="H87" s="392">
        <f>'Sources and Uses Budget'!T87</f>
        <v>0</v>
      </c>
      <c r="I87" s="393"/>
      <c r="J87" s="393"/>
      <c r="K87" s="390"/>
    </row>
    <row r="88" spans="1:11" s="391" customFormat="1" ht="13">
      <c r="A88" s="145" t="s">
        <v>780</v>
      </c>
      <c r="B88" s="392">
        <f>'Sources and Uses Budget'!C88</f>
        <v>40000</v>
      </c>
      <c r="C88" s="393">
        <f t="shared" si="10"/>
        <v>40000</v>
      </c>
      <c r="D88" s="393"/>
      <c r="E88" s="394"/>
      <c r="F88" s="394"/>
      <c r="G88" s="394"/>
      <c r="H88" s="394"/>
      <c r="I88" s="394"/>
      <c r="J88" s="394"/>
      <c r="K88" s="390"/>
    </row>
    <row r="89" spans="1:11" s="391" customFormat="1" ht="13">
      <c r="A89" s="145" t="s">
        <v>781</v>
      </c>
      <c r="B89" s="392">
        <f>'Sources and Uses Budget'!C89</f>
        <v>150000</v>
      </c>
      <c r="C89" s="393">
        <f t="shared" si="10"/>
        <v>150000</v>
      </c>
      <c r="D89" s="393"/>
      <c r="E89" s="392">
        <f>'Sources and Uses Budget'!S89</f>
        <v>150000</v>
      </c>
      <c r="F89" s="393"/>
      <c r="G89" s="393"/>
      <c r="H89" s="392">
        <f>'Sources and Uses Budget'!T89</f>
        <v>0</v>
      </c>
      <c r="I89" s="393"/>
      <c r="J89" s="393"/>
      <c r="K89" s="390"/>
    </row>
    <row r="90" spans="1:11" s="391" customFormat="1" ht="13">
      <c r="A90" s="145" t="s">
        <v>782</v>
      </c>
      <c r="B90" s="392">
        <f>'Sources and Uses Budget'!C90</f>
        <v>8500</v>
      </c>
      <c r="C90" s="393">
        <f t="shared" si="10"/>
        <v>8500</v>
      </c>
      <c r="D90" s="393"/>
      <c r="E90" s="392">
        <f>'Sources and Uses Budget'!S90</f>
        <v>0</v>
      </c>
      <c r="F90" s="393"/>
      <c r="G90" s="393"/>
      <c r="H90" s="392">
        <f>'Sources and Uses Budget'!T90</f>
        <v>0</v>
      </c>
      <c r="I90" s="393"/>
      <c r="J90" s="393"/>
      <c r="K90" s="390"/>
    </row>
    <row r="91" spans="1:11" s="391" customFormat="1" ht="13">
      <c r="A91" s="155" t="s">
        <v>372</v>
      </c>
      <c r="B91" s="392">
        <f>'Sources and Uses Budget'!C91</f>
        <v>0</v>
      </c>
      <c r="C91" s="393">
        <f t="shared" si="10"/>
        <v>0</v>
      </c>
      <c r="D91" s="393"/>
      <c r="E91" s="392">
        <f>'Sources and Uses Budget'!S91</f>
        <v>0</v>
      </c>
      <c r="F91" s="393"/>
      <c r="G91" s="393"/>
      <c r="H91" s="392">
        <f>'Sources and Uses Budget'!T91</f>
        <v>0</v>
      </c>
      <c r="I91" s="393"/>
      <c r="J91" s="393"/>
      <c r="K91" s="390"/>
    </row>
    <row r="92" spans="1:11" s="391" customFormat="1" ht="13">
      <c r="A92" s="542" t="s">
        <v>1317</v>
      </c>
      <c r="B92" s="392">
        <f>'Sources and Uses Budget'!C92</f>
        <v>5000</v>
      </c>
      <c r="C92" s="393">
        <f t="shared" si="10"/>
        <v>5000</v>
      </c>
      <c r="D92" s="393"/>
      <c r="E92" s="392">
        <f>'Sources and Uses Budget'!S92</f>
        <v>5000</v>
      </c>
      <c r="F92" s="393"/>
      <c r="G92" s="393"/>
      <c r="H92" s="392">
        <f>'Sources and Uses Budget'!T92</f>
        <v>0</v>
      </c>
      <c r="I92" s="393"/>
      <c r="J92" s="393"/>
      <c r="K92" s="390"/>
    </row>
    <row r="93" spans="1:11" s="391" customFormat="1" ht="13">
      <c r="A93" s="395" t="str">
        <f>'Sources and Uses Budget'!$A93</f>
        <v>Special inspections/testing</v>
      </c>
      <c r="B93" s="392">
        <f>'Sources and Uses Budget'!C93</f>
        <v>99000</v>
      </c>
      <c r="C93" s="393">
        <f t="shared" si="10"/>
        <v>99000</v>
      </c>
      <c r="D93" s="393"/>
      <c r="E93" s="392">
        <f>'Sources and Uses Budget'!S93</f>
        <v>99000</v>
      </c>
      <c r="F93" s="393"/>
      <c r="G93" s="393"/>
      <c r="H93" s="392">
        <f>'Sources and Uses Budget'!T93</f>
        <v>0</v>
      </c>
      <c r="I93" s="393"/>
      <c r="J93" s="393"/>
      <c r="K93" s="390"/>
    </row>
    <row r="94" spans="1:11" s="391" customFormat="1" ht="26">
      <c r="A94" s="395" t="str">
        <f>'Sources and Uses Budget'!$A94</f>
        <v>Community outreach, security during construction, Start-up/lease-up expenses</v>
      </c>
      <c r="B94" s="392">
        <f>'Sources and Uses Budget'!C94</f>
        <v>118200</v>
      </c>
      <c r="C94" s="393">
        <f t="shared" si="10"/>
        <v>118200</v>
      </c>
      <c r="D94" s="393"/>
      <c r="E94" s="392">
        <f>'Sources and Uses Budget'!S94</f>
        <v>62999</v>
      </c>
      <c r="F94" s="393"/>
      <c r="G94" s="393"/>
      <c r="H94" s="392">
        <f>'Sources and Uses Budget'!T94</f>
        <v>0</v>
      </c>
      <c r="I94" s="393"/>
      <c r="J94" s="393"/>
      <c r="K94" s="390"/>
    </row>
    <row r="95" spans="1:11" s="391" customFormat="1" ht="13">
      <c r="A95" s="395" t="str">
        <f>'Sources and Uses Budget'!$A95</f>
        <v>CDLAC and CDIAC fees</v>
      </c>
      <c r="B95" s="392">
        <f>'Sources and Uses Budget'!C95</f>
        <v>16473</v>
      </c>
      <c r="C95" s="393">
        <f t="shared" si="10"/>
        <v>16473</v>
      </c>
      <c r="D95" s="393"/>
      <c r="E95" s="392">
        <f>'Sources and Uses Budget'!S95</f>
        <v>3187</v>
      </c>
      <c r="F95" s="393"/>
      <c r="G95" s="393"/>
      <c r="H95" s="392">
        <f>'Sources and Uses Budget'!T95</f>
        <v>0</v>
      </c>
      <c r="I95" s="393"/>
      <c r="J95" s="393"/>
      <c r="K95" s="390"/>
    </row>
    <row r="96" spans="1:11" s="391" customFormat="1" ht="13">
      <c r="A96" s="396" t="s">
        <v>783</v>
      </c>
      <c r="B96" s="392">
        <f>'Sources and Uses Budget'!C96</f>
        <v>2276391</v>
      </c>
      <c r="C96" s="392">
        <f>SUM(C83:C95)</f>
        <v>2276391</v>
      </c>
      <c r="D96" s="392">
        <f>SUM(D83:D95)</f>
        <v>0</v>
      </c>
      <c r="E96" s="392">
        <f>'Sources and Uses Budget'!S96</f>
        <v>2074186</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51791422</v>
      </c>
      <c r="C97" s="392">
        <f>SUM(C63+C70+C77+C81+C96)</f>
        <v>51791422</v>
      </c>
      <c r="D97" s="392">
        <f>SUM(D63+D70+D77+D81+D96)</f>
        <v>0</v>
      </c>
      <c r="E97" s="392">
        <f>'Sources and Uses Budget'!S97</f>
        <v>44009290</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6601394</v>
      </c>
      <c r="C99" s="393">
        <f t="shared" ref="C99:C103" si="11">B99</f>
        <v>6601394</v>
      </c>
      <c r="D99" s="393"/>
      <c r="E99" s="392">
        <f>'Sources and Uses Budget'!S99</f>
        <v>6601394</v>
      </c>
      <c r="F99" s="393"/>
      <c r="G99" s="393"/>
      <c r="H99" s="392">
        <f>'Sources and Uses Budget'!T99</f>
        <v>0</v>
      </c>
      <c r="I99" s="393"/>
      <c r="J99" s="393"/>
      <c r="K99" s="390"/>
    </row>
    <row r="100" spans="1:11" s="391" customFormat="1" ht="13">
      <c r="A100" s="304" t="s">
        <v>1759</v>
      </c>
      <c r="B100" s="392">
        <f>'Sources and Uses Budget'!C100</f>
        <v>0</v>
      </c>
      <c r="C100" s="393">
        <f t="shared" si="11"/>
        <v>0</v>
      </c>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f t="shared" si="11"/>
        <v>0</v>
      </c>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f t="shared" si="11"/>
        <v>0</v>
      </c>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f t="shared" si="11"/>
        <v>0</v>
      </c>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6601394</v>
      </c>
      <c r="C104" s="392">
        <f>SUM(C99:C103)</f>
        <v>6601394</v>
      </c>
      <c r="D104" s="392">
        <f>SUM(D99:D103)</f>
        <v>0</v>
      </c>
      <c r="E104" s="392">
        <f>'Sources and Uses Budget'!S104</f>
        <v>6601394</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58392816</v>
      </c>
      <c r="C105" s="398">
        <f>SUM(C97+C104)</f>
        <v>58392816</v>
      </c>
      <c r="D105" s="398">
        <f>SUM(D97+D104)</f>
        <v>0</v>
      </c>
      <c r="E105" s="392">
        <f>'Sources and Uses Budget'!S105</f>
        <v>50610684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50610684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6"/>
      <c r="E124" s="1335"/>
      <c r="F124" s="1335"/>
      <c r="G124" s="1335"/>
      <c r="H124" s="1335"/>
      <c r="I124" s="1335"/>
      <c r="J124" s="407"/>
      <c r="K124" s="390"/>
    </row>
    <row r="125" spans="1:11" s="391" customFormat="1" ht="13">
      <c r="A125" s="416"/>
      <c r="B125" s="415"/>
      <c r="C125" s="416"/>
      <c r="D125" s="1335"/>
      <c r="E125" s="1335"/>
      <c r="F125" s="1335"/>
      <c r="G125" s="1335"/>
      <c r="H125" s="1335"/>
      <c r="I125" s="1335"/>
      <c r="J125" s="407"/>
      <c r="K125" s="390"/>
    </row>
    <row r="126" spans="1:11" s="391" customFormat="1" ht="13">
      <c r="A126" s="416"/>
      <c r="B126" s="415"/>
      <c r="C126" s="416"/>
      <c r="D126" s="1335"/>
      <c r="E126" s="1335"/>
      <c r="F126" s="1335"/>
      <c r="G126" s="1335"/>
      <c r="H126" s="1335"/>
      <c r="I126" s="1335"/>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AB707" sqref="AB70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3" t="s">
        <v>1411</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1416</v>
      </c>
      <c r="AF7" s="1907"/>
      <c r="AG7" s="1907"/>
      <c r="AH7" s="1907"/>
      <c r="AI7" s="1907"/>
      <c r="AJ7" s="1907"/>
      <c r="AK7" s="190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599</v>
      </c>
      <c r="C13" s="1897"/>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599</v>
      </c>
      <c r="C16" s="1897"/>
      <c r="D16" s="581"/>
      <c r="E16" s="1908" t="s">
        <v>1418</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1419</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599</v>
      </c>
      <c r="C22" s="1897"/>
      <c r="D22" s="581"/>
      <c r="E22" s="1930" t="s">
        <v>1421</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1419</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599</v>
      </c>
      <c r="C25" s="1897"/>
      <c r="D25" s="581"/>
      <c r="E25" s="1898" t="s">
        <v>2348</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1419</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7" t="s">
        <v>599</v>
      </c>
      <c r="C30" s="1897"/>
      <c r="D30" s="581"/>
      <c r="E30" s="1930" t="s">
        <v>2320</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599</v>
      </c>
      <c r="C33" s="1897"/>
      <c r="D33" s="581"/>
      <c r="E33" s="1898" t="s">
        <v>2321</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599</v>
      </c>
      <c r="C39" s="1897"/>
      <c r="D39" s="1186"/>
      <c r="E39" s="1898" t="s">
        <v>2322</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599</v>
      </c>
      <c r="C46" s="1897"/>
      <c r="D46" s="574"/>
      <c r="E46" s="1898" t="s">
        <v>2327</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599</v>
      </c>
      <c r="C50" s="1897"/>
      <c r="D50" s="574"/>
      <c r="E50" s="1918" t="s">
        <v>2328</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599</v>
      </c>
      <c r="C52" s="1897"/>
      <c r="D52" s="574"/>
      <c r="E52" s="1898" t="s">
        <v>2329</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7">
        <f>AO36</f>
        <v>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1425</v>
      </c>
      <c r="AF59" s="1907"/>
      <c r="AG59" s="1907"/>
      <c r="AH59" s="1907"/>
      <c r="AI59" s="1907"/>
      <c r="AJ59" s="1907"/>
      <c r="AK59" s="190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599</v>
      </c>
      <c r="C62" s="1897"/>
      <c r="D62" s="581" t="s">
        <v>1426</v>
      </c>
      <c r="E62" s="1908" t="s">
        <v>2330</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10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10</v>
      </c>
      <c r="AP65" s="608" t="s">
        <v>1427</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553</v>
      </c>
      <c r="C68" s="1897"/>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553</v>
      </c>
      <c r="F69" s="1897"/>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599</v>
      </c>
      <c r="F70" s="1896"/>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599</v>
      </c>
      <c r="F71" s="1896"/>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599</v>
      </c>
      <c r="F73" s="1897"/>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599</v>
      </c>
      <c r="C75" s="1897"/>
      <c r="D75" s="581" t="s">
        <v>1431</v>
      </c>
      <c r="E75" s="1898" t="s">
        <v>1930</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7">
        <f>IF(AK56&gt;0,0,AO65)</f>
        <v>10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1416</v>
      </c>
      <c r="AF81" s="1907"/>
      <c r="AG81" s="1907"/>
      <c r="AH81" s="1907"/>
      <c r="AI81" s="1907"/>
      <c r="AJ81" s="1907"/>
      <c r="AK81" s="190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599</v>
      </c>
      <c r="C84" s="1897"/>
      <c r="D84" s="581" t="s">
        <v>1426</v>
      </c>
      <c r="E84" s="1908" t="s">
        <v>1436</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0.60000000000000009</v>
      </c>
      <c r="F87" s="1892"/>
      <c r="G87" s="1892"/>
      <c r="H87" s="1892"/>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0</v>
      </c>
      <c r="F88" s="1894"/>
      <c r="G88" s="1894"/>
      <c r="H88" s="1894"/>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0</v>
      </c>
      <c r="F89" s="1922"/>
      <c r="G89" s="1922"/>
      <c r="H89" s="1922"/>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553</v>
      </c>
      <c r="C92" s="1897"/>
      <c r="D92" s="581" t="s">
        <v>1428</v>
      </c>
      <c r="E92" s="1908" t="s">
        <v>1915</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0.60000000000000009</v>
      </c>
      <c r="F97" s="1892"/>
      <c r="G97" s="1892"/>
      <c r="H97" s="1892"/>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0.13580246913580246</v>
      </c>
      <c r="F98" s="1892"/>
      <c r="G98" s="1892"/>
      <c r="H98" s="1892"/>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0.18518518518518517</v>
      </c>
      <c r="F99" s="1892"/>
      <c r="G99" s="1892"/>
      <c r="H99" s="1892"/>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1425</v>
      </c>
      <c r="AF106" s="1907"/>
      <c r="AG106" s="1907"/>
      <c r="AH106" s="1907"/>
      <c r="AI106" s="1907"/>
      <c r="AJ106" s="1907"/>
      <c r="AK106" s="1907"/>
      <c r="AL106" s="574"/>
      <c r="AM106" s="574"/>
      <c r="AN106" s="569"/>
      <c r="AO106" s="570" t="str">
        <f>Application!B718</f>
        <v>1 Bedroom</v>
      </c>
      <c r="AQ106" s="570">
        <f>Application!O718</f>
        <v>665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796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914</v>
      </c>
    </row>
    <row r="109" spans="1:49" s="570" customFormat="1" ht="12.75" customHeight="1">
      <c r="A109" s="574"/>
      <c r="B109" s="1897" t="s">
        <v>553</v>
      </c>
      <c r="C109" s="1897"/>
      <c r="D109" s="581" t="s">
        <v>1426</v>
      </c>
      <c r="E109" s="1908" t="s">
        <v>2049</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t="str">
        <f>Application!B721</f>
        <v>1 Bedroom</v>
      </c>
      <c r="AQ109" s="570">
        <f>Application!O721</f>
        <v>1138</v>
      </c>
      <c r="AU109" s="570" t="s">
        <v>2031</v>
      </c>
      <c r="AV109" s="629" t="s">
        <v>2032</v>
      </c>
      <c r="AW109" s="570" t="s">
        <v>2033</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t="str">
        <f>Application!B722</f>
        <v>2 Bedrooms</v>
      </c>
      <c r="AQ110" s="570">
        <f>Application!O722</f>
        <v>1363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t="str">
        <f>Application!B723</f>
        <v>3 Bedrooms</v>
      </c>
      <c r="AQ111" s="570">
        <f>Application!O723</f>
        <v>1570</v>
      </c>
      <c r="AU111" s="890" t="str">
        <f>J118</f>
        <v>1-bedroom</v>
      </c>
      <c r="AV111" s="570">
        <f t="array" ref="AV111">SUM(IF(Application!B718:F752="1 Bedroom",Application!G718:J752))</f>
        <v>39</v>
      </c>
      <c r="AW111" s="1046">
        <f>AV111/AV116</f>
        <v>0.48148148148148145</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t="str">
        <f>Application!B724</f>
        <v>1 Bedroom</v>
      </c>
      <c r="AQ112" s="570">
        <f>Application!O724</f>
        <v>1375</v>
      </c>
      <c r="AU112" s="890" t="str">
        <f>O118</f>
        <v>2-bedroom</v>
      </c>
      <c r="AV112" s="570">
        <f t="array" ref="AV112">SUM(IF(Application!B718:F752="2 Bedrooms",Application!G718:J752))</f>
        <v>21</v>
      </c>
      <c r="AW112" s="1046">
        <f>AV112/AV116</f>
        <v>0.25925925925925924</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t="str">
        <f>Application!B725</f>
        <v>2 Bedrooms</v>
      </c>
      <c r="AQ113" s="570">
        <f>Application!O725</f>
        <v>1647</v>
      </c>
      <c r="AU113" s="890" t="str">
        <f>T118</f>
        <v>3-bedroom</v>
      </c>
      <c r="AV113" s="570">
        <f t="array" ref="AV113">SUM(IF(Application!B718:F752="3 Bedrooms",Application!G718:J752))</f>
        <v>21</v>
      </c>
      <c r="AW113" s="1046">
        <f>AV113/AV116</f>
        <v>0.25925925925925924</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t="str">
        <f>Application!B726</f>
        <v>3 Bedrooms</v>
      </c>
      <c r="AQ114" s="570">
        <f>Application!O726</f>
        <v>1898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t="str">
        <f>Application!B727</f>
        <v>1 Bedroom</v>
      </c>
      <c r="AQ115" s="570">
        <f>Application!O727</f>
        <v>1611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t="str">
        <f>Application!B728</f>
        <v>2 Bedrooms</v>
      </c>
      <c r="AQ116" s="570">
        <f>Application!O728</f>
        <v>1931</v>
      </c>
      <c r="AV116" s="570">
        <f>SUM(AV110:AV115)</f>
        <v>81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2226</v>
      </c>
    </row>
    <row r="118" spans="1:52" s="570" customFormat="1" ht="12.75" customHeight="1">
      <c r="A118" s="574"/>
      <c r="B118" s="573"/>
      <c r="C118" s="574"/>
      <c r="D118" s="574"/>
      <c r="E118" s="1891" t="s">
        <v>1700</v>
      </c>
      <c r="F118" s="1892"/>
      <c r="G118" s="1892"/>
      <c r="H118" s="1892"/>
      <c r="I118" s="611"/>
      <c r="J118" s="1892" t="s">
        <v>1744</v>
      </c>
      <c r="K118" s="1892"/>
      <c r="L118" s="1892"/>
      <c r="M118" s="1892"/>
      <c r="N118" s="611"/>
      <c r="O118" s="1892" t="s">
        <v>1745</v>
      </c>
      <c r="P118" s="1892"/>
      <c r="Q118" s="1892"/>
      <c r="R118" s="1892"/>
      <c r="S118" s="611"/>
      <c r="T118" s="1892" t="s">
        <v>1445</v>
      </c>
      <c r="U118" s="1892"/>
      <c r="V118" s="1892"/>
      <c r="W118" s="1892"/>
      <c r="X118" s="611"/>
      <c r="Y118" s="1892" t="s">
        <v>1746</v>
      </c>
      <c r="Z118" s="1892"/>
      <c r="AA118" s="1892"/>
      <c r="AB118" s="1892"/>
      <c r="AC118" s="611"/>
      <c r="AD118" s="1892" t="s">
        <v>1747</v>
      </c>
      <c r="AE118" s="1892"/>
      <c r="AF118" s="1892"/>
      <c r="AG118" s="1892"/>
      <c r="AH118" s="611"/>
      <c r="AI118" s="611"/>
      <c r="AJ118" s="613"/>
      <c r="AK118" s="574"/>
      <c r="AL118" s="574"/>
      <c r="AM118" s="574"/>
      <c r="AN118" s="569"/>
      <c r="AO118" s="570" t="str">
        <f>Application!B730</f>
        <v>1 Bedroom</v>
      </c>
      <c r="AQ118" s="570">
        <f>Application!O730</f>
        <v>1848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1931</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2553</v>
      </c>
    </row>
    <row r="121" spans="1:52" s="570" customFormat="1" ht="12.75" customHeight="1">
      <c r="A121" s="574"/>
      <c r="B121" s="573"/>
      <c r="C121" s="574"/>
      <c r="D121" s="574"/>
      <c r="E121" s="1948"/>
      <c r="F121" s="1949"/>
      <c r="G121" s="1949"/>
      <c r="H121" s="1949"/>
      <c r="I121" s="898"/>
      <c r="J121" s="1949">
        <v>2026</v>
      </c>
      <c r="K121" s="1949"/>
      <c r="L121" s="1949"/>
      <c r="M121" s="1949"/>
      <c r="N121" s="898"/>
      <c r="O121" s="1949">
        <v>2230</v>
      </c>
      <c r="P121" s="1949"/>
      <c r="Q121" s="1949"/>
      <c r="R121" s="1949"/>
      <c r="S121" s="898"/>
      <c r="T121" s="1949">
        <v>3229</v>
      </c>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0</v>
      </c>
      <c r="F124" s="1942"/>
      <c r="G124" s="1942"/>
      <c r="H124" s="1942"/>
      <c r="I124" s="898"/>
      <c r="J124" s="1942">
        <f>Application!EC670</f>
        <v>1386.8717948717947</v>
      </c>
      <c r="K124" s="1942"/>
      <c r="L124" s="1942"/>
      <c r="M124" s="1942"/>
      <c r="N124" s="898"/>
      <c r="O124" s="1942">
        <f>Application!EH670</f>
        <v>1566</v>
      </c>
      <c r="P124" s="1942"/>
      <c r="Q124" s="1942"/>
      <c r="R124" s="1942"/>
      <c r="S124" s="902"/>
      <c r="T124" s="1942">
        <f>Application!EM670</f>
        <v>1913.4285714285713</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t="e">
        <f>(E121-E124)/E121</f>
        <v>#DIV/0!</v>
      </c>
      <c r="F127" s="1894"/>
      <c r="G127" s="1894"/>
      <c r="H127" s="2139"/>
      <c r="I127" s="611"/>
      <c r="J127" s="2138">
        <f>(J121-J124)/J121</f>
        <v>0.3154630824917104</v>
      </c>
      <c r="K127" s="1894"/>
      <c r="L127" s="1894"/>
      <c r="M127" s="2139"/>
      <c r="N127" s="611"/>
      <c r="O127" s="2138">
        <f>(O121-O124)/O121</f>
        <v>0.29775784753363227</v>
      </c>
      <c r="P127" s="1894"/>
      <c r="Q127" s="1894"/>
      <c r="R127" s="2139"/>
      <c r="S127" s="611"/>
      <c r="T127" s="2138">
        <f>(T121-T124)/T121</f>
        <v>0.40742379330177414</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t="e">
        <f>IF(((E127-0.1)*AW110)&gt;0,((E127-0.1)*AW110),0)</f>
        <v>#DIV/0!</v>
      </c>
      <c r="F130" s="1944"/>
      <c r="G130" s="1944"/>
      <c r="H130" s="1945"/>
      <c r="I130" s="611"/>
      <c r="J130" s="1943">
        <f>IF(((J127-0.1)*AW111)&gt;0,((J127-0.1)*AW111),0)</f>
        <v>0.10374148416267537</v>
      </c>
      <c r="K130" s="1944"/>
      <c r="L130" s="1944"/>
      <c r="M130" s="1945"/>
      <c r="N130" s="611"/>
      <c r="O130" s="1943">
        <f>IF(((O127-0.1)*AW112)&gt;0,((O127-0.1)*AW112),0)</f>
        <v>5.1270553064275026E-2</v>
      </c>
      <c r="P130" s="1944"/>
      <c r="Q130" s="1944"/>
      <c r="R130" s="1945"/>
      <c r="S130" s="611"/>
      <c r="T130" s="1943">
        <f>IF(((T127-0.1)*AW113)&gt;0,((T127-0.1)*AW113),0)</f>
        <v>7.9702464930089589E-2</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0.23</v>
      </c>
      <c r="F132" s="1894"/>
      <c r="G132" s="1894"/>
      <c r="H132" s="2139"/>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7" t="s">
        <v>1425</v>
      </c>
      <c r="AF140" s="1907"/>
      <c r="AG140" s="1907"/>
      <c r="AH140" s="1907"/>
      <c r="AI140" s="1907"/>
      <c r="AJ140" s="1907"/>
      <c r="AK140" s="1907"/>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1449</v>
      </c>
      <c r="AG142" s="1939"/>
      <c r="AH142" s="1939"/>
      <c r="AI142" s="1939"/>
      <c r="AJ142" s="1939"/>
      <c r="AK142" s="1939"/>
      <c r="AL142" s="193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
        <v>2642</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5" t="s">
        <v>2331</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6" t="s">
        <v>599</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5" t="s">
        <v>1454</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1463</v>
      </c>
      <c r="AG157" s="1939"/>
      <c r="AH157" s="1939"/>
      <c r="AI157" s="1939"/>
      <c r="AJ157" s="1939"/>
      <c r="AK157" s="1939"/>
      <c r="AL157" s="1939"/>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1461</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599</v>
      </c>
      <c r="AG161" s="1966"/>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5" t="s">
        <v>1454</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40" t="s">
        <v>2675</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1425</v>
      </c>
      <c r="AF175" s="1907"/>
      <c r="AG175" s="1907"/>
      <c r="AH175" s="1907"/>
      <c r="AI175" s="1907"/>
      <c r="AJ175" s="1907"/>
      <c r="AK175" s="190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3" t="s">
        <v>1065</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1474</v>
      </c>
      <c r="AG177" s="1939"/>
      <c r="AH177" s="1939"/>
      <c r="AI177" s="1939"/>
      <c r="AJ177" s="1939"/>
      <c r="AK177" s="1939"/>
      <c r="AL177" s="1939"/>
      <c r="AN177" s="631"/>
      <c r="AP177" s="584" t="s">
        <v>1067</v>
      </c>
      <c r="AQ177" s="584">
        <v>10</v>
      </c>
    </row>
    <row r="178" spans="1:45" s="584" customFormat="1" ht="12.75" customHeight="1">
      <c r="A178" s="570"/>
      <c r="B178" s="1964" t="s">
        <v>1916</v>
      </c>
      <c r="C178" s="1964"/>
      <c r="D178" s="1964"/>
      <c r="E178" s="1964"/>
      <c r="F178" s="1964"/>
      <c r="G178" s="1964"/>
      <c r="H178" s="1964"/>
      <c r="I178" s="1964"/>
      <c r="J178" s="1964"/>
      <c r="K178" s="1964"/>
      <c r="L178" s="1964"/>
      <c r="M178" s="1964"/>
      <c r="N178" s="1964"/>
      <c r="O178" s="1964"/>
      <c r="P178" s="1964"/>
      <c r="Q178" s="1964"/>
      <c r="R178" s="1964"/>
      <c r="S178" s="1964"/>
      <c r="T178" s="1940" t="s">
        <v>599</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2">
        <f>IF(AK78&gt;0,VLOOKUP($B$177,AP174:AQ180,2,FALSE),0)</f>
        <v>10</v>
      </c>
      <c r="AL180" s="1973"/>
      <c r="AM180" s="197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1483</v>
      </c>
      <c r="AF183" s="1907"/>
      <c r="AG183" s="1907"/>
      <c r="AH183" s="1907"/>
      <c r="AI183" s="1907"/>
      <c r="AJ183" s="1907"/>
      <c r="AK183" s="190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tr">
        <f>Application!C628</f>
        <v>HCD Housing Development Fund</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v>3000000</v>
      </c>
      <c r="AE188" s="1952"/>
      <c r="AF188" s="1952"/>
      <c r="AG188" s="1952"/>
      <c r="AH188" s="1952"/>
      <c r="AI188" s="1952"/>
      <c r="AJ188" s="1952"/>
      <c r="AK188" s="644"/>
    </row>
    <row r="189" spans="1:45">
      <c r="A189" s="639"/>
      <c r="B189" s="1951" t="str">
        <f>Application!C557</f>
        <v>CMFA Recycled Bonds</v>
      </c>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v>4000000</v>
      </c>
      <c r="AE189" s="1952"/>
      <c r="AF189" s="1952"/>
      <c r="AG189" s="1952"/>
      <c r="AH189" s="1952"/>
      <c r="AI189" s="1952"/>
      <c r="AJ189" s="1952"/>
      <c r="AK189" s="644"/>
    </row>
    <row r="190" spans="1:45">
      <c r="A190" s="639"/>
      <c r="B190" s="1951"/>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c r="AE190" s="1952"/>
      <c r="AF190" s="1952"/>
      <c r="AG190" s="1952"/>
      <c r="AH190" s="1952"/>
      <c r="AI190" s="1952"/>
      <c r="AJ190" s="1952"/>
      <c r="AK190" s="644"/>
    </row>
    <row r="191" spans="1:45">
      <c r="A191" s="639"/>
      <c r="B191" s="1951"/>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c r="AE191" s="1952"/>
      <c r="AF191" s="1952"/>
      <c r="AG191" s="1952"/>
      <c r="AH191" s="1952"/>
      <c r="AI191" s="1952"/>
      <c r="AJ191" s="1952"/>
      <c r="AK191" s="644"/>
    </row>
    <row r="192" spans="1:45">
      <c r="A192" s="639"/>
      <c r="B192" s="1951"/>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1739</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0</v>
      </c>
      <c r="AE198" s="1979"/>
      <c r="AF198" s="1979"/>
      <c r="AG198" s="1979"/>
      <c r="AH198" s="1979"/>
      <c r="AI198" s="1979"/>
      <c r="AJ198" s="1979"/>
      <c r="AK198" s="644"/>
    </row>
    <row r="199" spans="1:37">
      <c r="A199" s="639"/>
      <c r="B199" s="2113" t="s">
        <v>1702</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4">
        <f>SUM(AD188:AJ198)-AD199</f>
        <v>7000000</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1719</v>
      </c>
      <c r="J211" s="1955"/>
      <c r="K211" s="1955"/>
      <c r="L211" s="570"/>
      <c r="M211" s="570"/>
      <c r="N211" s="570"/>
      <c r="O211" s="570"/>
      <c r="P211" s="570"/>
      <c r="Q211" s="570"/>
      <c r="R211" s="570"/>
      <c r="S211" s="570"/>
      <c r="T211" s="2141" t="s">
        <v>1713</v>
      </c>
      <c r="U211" s="2141"/>
      <c r="V211" s="2141"/>
      <c r="W211" s="2141"/>
      <c r="X211" s="2141"/>
      <c r="Y211" s="2141"/>
      <c r="Z211" s="883"/>
      <c r="AA211" s="523"/>
      <c r="AB211" s="1950" t="s">
        <v>1714</v>
      </c>
      <c r="AC211" s="1950"/>
      <c r="AD211" s="1950"/>
      <c r="AE211" s="1950"/>
      <c r="AF211" s="1950"/>
      <c r="AG211" s="1950"/>
      <c r="AH211" s="861"/>
      <c r="AI211" s="861"/>
      <c r="AJ211" s="861"/>
      <c r="AK211" s="644"/>
    </row>
    <row r="212" spans="1:37">
      <c r="A212" s="639"/>
      <c r="B212" s="1953" t="s">
        <v>1699</v>
      </c>
      <c r="C212" s="1953"/>
      <c r="D212" s="1953"/>
      <c r="E212" s="1953"/>
      <c r="F212" s="1953"/>
      <c r="G212" s="1953"/>
      <c r="I212" s="1954" t="s">
        <v>1720</v>
      </c>
      <c r="J212" s="1954"/>
      <c r="K212" s="1954"/>
      <c r="L212" s="1043"/>
      <c r="N212" s="1960" t="s">
        <v>1715</v>
      </c>
      <c r="O212" s="1960"/>
      <c r="P212" s="1960"/>
      <c r="Q212" s="1960"/>
      <c r="R212" s="1960"/>
      <c r="T212" s="1960" t="s">
        <v>1716</v>
      </c>
      <c r="U212" s="1960"/>
      <c r="V212" s="1960"/>
      <c r="W212" s="1960"/>
      <c r="X212" s="1960"/>
      <c r="Y212" s="1960"/>
      <c r="Z212" s="884"/>
      <c r="AA212" s="523"/>
      <c r="AB212" s="2116" t="s">
        <v>1717</v>
      </c>
      <c r="AC212" s="2116"/>
      <c r="AD212" s="2116"/>
      <c r="AE212" s="2116"/>
      <c r="AF212" s="2116"/>
      <c r="AG212" s="2116"/>
      <c r="AH212" s="861"/>
      <c r="AI212" s="861"/>
      <c r="AJ212" s="861"/>
      <c r="AK212" s="644"/>
    </row>
    <row r="213" spans="1:37">
      <c r="A213" s="639"/>
      <c r="B213" s="1957" t="s">
        <v>1290</v>
      </c>
      <c r="C213" s="1957"/>
      <c r="D213" s="1957"/>
      <c r="E213" s="1957"/>
      <c r="F213" s="1957"/>
      <c r="G213" s="1957"/>
      <c r="H213" s="886"/>
      <c r="I213" s="1956"/>
      <c r="J213" s="1956"/>
      <c r="K213" s="1956"/>
      <c r="L213" s="1043"/>
      <c r="N213" s="1961"/>
      <c r="O213" s="1961"/>
      <c r="P213" s="1961"/>
      <c r="Q213" s="1961"/>
      <c r="R213" s="1961"/>
      <c r="T213" s="2114"/>
      <c r="U213" s="2114"/>
      <c r="V213" s="2114"/>
      <c r="W213" s="2114"/>
      <c r="X213" s="2114"/>
      <c r="Y213" s="2114"/>
      <c r="Z213" s="885"/>
      <c r="AA213" s="885"/>
      <c r="AB213" s="1958">
        <f t="shared" ref="AB213:AB222" si="0">MAX(($T213-$N213)*$I213*12,0)</f>
        <v>0</v>
      </c>
      <c r="AC213" s="1958"/>
      <c r="AD213" s="1958"/>
      <c r="AE213" s="1958"/>
      <c r="AF213" s="1958"/>
      <c r="AG213" s="1958"/>
      <c r="AH213" s="861"/>
      <c r="AI213" s="861"/>
      <c r="AJ213" s="861"/>
      <c r="AK213" s="644"/>
    </row>
    <row r="214" spans="1:37">
      <c r="A214" s="639"/>
      <c r="B214" s="1957" t="s">
        <v>1290</v>
      </c>
      <c r="C214" s="1957"/>
      <c r="D214" s="1957"/>
      <c r="E214" s="1957"/>
      <c r="F214" s="1957"/>
      <c r="G214" s="1957"/>
      <c r="I214" s="1956"/>
      <c r="J214" s="1956"/>
      <c r="K214" s="1956"/>
      <c r="L214" s="1043"/>
      <c r="N214" s="1961"/>
      <c r="O214" s="1961"/>
      <c r="P214" s="1961"/>
      <c r="Q214" s="1961"/>
      <c r="R214" s="1961"/>
      <c r="T214" s="2114"/>
      <c r="U214" s="2114"/>
      <c r="V214" s="2114"/>
      <c r="W214" s="2114"/>
      <c r="X214" s="2114"/>
      <c r="Y214" s="2114"/>
      <c r="Z214" s="885"/>
      <c r="AA214" s="885"/>
      <c r="AB214" s="1958">
        <f t="shared" si="0"/>
        <v>0</v>
      </c>
      <c r="AC214" s="1958"/>
      <c r="AD214" s="1958"/>
      <c r="AE214" s="1958"/>
      <c r="AF214" s="1958"/>
      <c r="AG214" s="1958"/>
      <c r="AH214" s="861"/>
      <c r="AI214" s="861"/>
      <c r="AJ214" s="861"/>
      <c r="AK214" s="644"/>
    </row>
    <row r="215" spans="1:37">
      <c r="A215" s="639"/>
      <c r="B215" s="1957" t="s">
        <v>1290</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1290</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1290</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1290</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1290</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1290</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1290</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1290</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8">
        <f>SUM(AB213:AB222)</f>
        <v>0</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0</v>
      </c>
      <c r="AC239" s="1958"/>
      <c r="AD239" s="1958"/>
      <c r="AE239" s="1958"/>
      <c r="AF239" s="1958"/>
      <c r="AG239" s="195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0</v>
      </c>
      <c r="AC241" s="1989"/>
      <c r="AD241" s="1989"/>
      <c r="AE241" s="1989"/>
      <c r="AF241" s="1989"/>
      <c r="AG241" s="198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0</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0</v>
      </c>
      <c r="AC249" s="1982"/>
      <c r="AD249" s="1982"/>
      <c r="AE249" s="1982"/>
      <c r="AF249" s="1982"/>
      <c r="AG249" s="19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7000000</v>
      </c>
      <c r="AH257" s="1975"/>
      <c r="AI257" s="1975"/>
      <c r="AJ257" s="1975"/>
      <c r="AK257" s="1975"/>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58392816</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0.11</v>
      </c>
      <c r="AH259" s="1976"/>
      <c r="AI259" s="1976"/>
      <c r="AJ259" s="1976"/>
      <c r="AK259" s="197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7">
        <f>IFERROR(IF(AG259=0,0,IF((AG259*100)&gt;8,8,(AG259*100))),0)</f>
        <v>8</v>
      </c>
      <c r="AL262" s="1977"/>
      <c r="AM262" s="1978"/>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9" t="s">
        <v>553</v>
      </c>
      <c r="D267" s="1969"/>
      <c r="E267" s="581"/>
      <c r="F267" s="2126" t="s">
        <v>2339</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1474</v>
      </c>
      <c r="AH267" s="1970"/>
      <c r="AI267" s="1970"/>
      <c r="AJ267" s="1970"/>
      <c r="AK267" s="584"/>
      <c r="AL267" s="584"/>
      <c r="AM267" s="584"/>
      <c r="AO267" s="584"/>
    </row>
    <row r="268" spans="1:52" ht="13.75"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5"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7">
        <f>IF($C$267="yes",10,0)</f>
        <v>10</v>
      </c>
      <c r="AL274" s="1977"/>
      <c r="AM274" s="1978"/>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3" t="s">
        <v>1493</v>
      </c>
      <c r="B281" s="1673"/>
      <c r="C281" s="1966" t="s">
        <v>599</v>
      </c>
      <c r="D281" s="1969"/>
      <c r="E281" s="581"/>
      <c r="F281" s="1997" t="s">
        <v>1494</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2332</v>
      </c>
      <c r="AH281" s="2000"/>
      <c r="AI281" s="2000"/>
      <c r="AJ281" s="2000"/>
      <c r="AK281" s="2000"/>
      <c r="AL281" s="584"/>
      <c r="AM281" s="584"/>
      <c r="AN281" s="73"/>
      <c r="AO281" s="14"/>
      <c r="AP281" s="30"/>
      <c r="AS281" s="604"/>
      <c r="AT281" s="604"/>
      <c r="AU281" s="604"/>
      <c r="AV281" s="32"/>
      <c r="AW281" s="32"/>
    </row>
    <row r="282" spans="1:49">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1" t="s">
        <v>2340</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1495</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1496</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3" t="s">
        <v>1497</v>
      </c>
      <c r="B291" s="1673"/>
      <c r="C291" s="1969" t="s">
        <v>553</v>
      </c>
      <c r="D291" s="1969"/>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4" t="s">
        <v>2334</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3" t="s">
        <v>1500</v>
      </c>
      <c r="B299" s="1673"/>
      <c r="C299" s="1969" t="s">
        <v>599</v>
      </c>
      <c r="D299" s="1969"/>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1" t="s">
        <v>2341</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1290</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1290</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7" t="s">
        <v>1290</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7" t="s">
        <v>1290</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73" t="s">
        <v>1503</v>
      </c>
      <c r="B322" s="1673"/>
      <c r="C322" s="1969" t="s">
        <v>599</v>
      </c>
      <c r="D322" s="1969"/>
      <c r="E322" s="581"/>
      <c r="F322" s="1898" t="s">
        <v>2342</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2">
        <f>IF(NOT(OR(Application!M355="Yes",Application!M356="Yes")),0,AP284)</f>
        <v>9</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7" t="s">
        <v>1425</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1565</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5"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2409</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2573</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1566</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25"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75"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1567</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0</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7</v>
      </c>
      <c r="AS348" s="573" t="s">
        <v>1568</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589</v>
      </c>
      <c r="AP350" s="730">
        <f>IF(C396="Yes",5,0)</f>
        <v>0</v>
      </c>
      <c r="AS350" s="573" t="s">
        <v>2070</v>
      </c>
    </row>
    <row r="351" spans="1:46" s="584" customFormat="1" ht="12.75" customHeight="1">
      <c r="A351" s="637"/>
      <c r="B351" s="645"/>
      <c r="C351" s="2033" t="s">
        <v>1569</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3</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772</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592</v>
      </c>
      <c r="AP353" s="730">
        <f>IF(C410="Yes",5,0)</f>
        <v>0</v>
      </c>
    </row>
    <row r="354" spans="1:81" s="584" customFormat="1" ht="11.7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5"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227</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1" t="s">
        <v>1570</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464</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469</v>
      </c>
      <c r="AP359" s="730">
        <f>IF(C438="Yes",5,0)</f>
        <v>0</v>
      </c>
    </row>
    <row r="360" spans="1:81" s="584" customFormat="1" ht="68"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20">
        <f>Application!CS660-U363</f>
        <v>144</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4">
        <f>IF(AP364&gt;0,AP364,0)</f>
        <v>0</v>
      </c>
      <c r="AR364" s="2034"/>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5" t="s">
        <v>1572</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599</v>
      </c>
      <c r="D370" s="1969"/>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1574</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5" t="s">
        <v>1575</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599</v>
      </c>
      <c r="D378" s="1969"/>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1574</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5" t="s">
        <v>1577</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553</v>
      </c>
      <c r="D386" s="1969"/>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1579</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599</v>
      </c>
      <c r="D388" s="1969"/>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1574</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5" t="s">
        <v>1583</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599</v>
      </c>
      <c r="D396" s="1969"/>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1574</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553</v>
      </c>
      <c r="D398" s="1969"/>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1586</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599</v>
      </c>
      <c r="D401" s="1969"/>
      <c r="E401" s="749" t="s">
        <v>1587</v>
      </c>
      <c r="F401" s="2015" t="s">
        <v>1588</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1574</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5" t="s">
        <v>1590</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599</v>
      </c>
      <c r="D410" s="1969"/>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1574</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599</v>
      </c>
      <c r="D412" s="1969"/>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1586</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5" t="s">
        <v>1594</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5"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599</v>
      </c>
      <c r="D419" s="1969"/>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1574</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5" t="s">
        <v>1597</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599</v>
      </c>
      <c r="D431" s="1969"/>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1574</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5" t="s">
        <v>1600</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599</v>
      </c>
      <c r="D438" s="1969"/>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1574</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599</v>
      </c>
      <c r="D442" s="2019"/>
      <c r="E442" s="749" t="s">
        <v>1609</v>
      </c>
      <c r="F442" s="2015" t="s">
        <v>1610</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1574</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75"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599</v>
      </c>
      <c r="D446" s="1969"/>
      <c r="E446" s="749" t="s">
        <v>1615</v>
      </c>
      <c r="F446" s="2015" t="s">
        <v>1616</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1574</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5" t="s">
        <v>1619</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599</v>
      </c>
      <c r="D455" s="1969"/>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1574</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3" t="s">
        <v>1623</v>
      </c>
      <c r="AF461" s="2013"/>
      <c r="AG461" s="2013"/>
      <c r="AH461" s="2013"/>
      <c r="AI461" s="2013"/>
      <c r="AJ461" s="2013"/>
      <c r="AK461" s="201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8" t="s">
        <v>599</v>
      </c>
      <c r="D467" s="2039"/>
      <c r="E467" s="795" t="s">
        <v>515</v>
      </c>
      <c r="F467" s="2040" t="s">
        <v>1629</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2" t="s">
        <v>599</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3" t="s">
        <v>553</v>
      </c>
      <c r="D471" s="2044"/>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0" t="s">
        <v>599</v>
      </c>
      <c r="W474" s="2050"/>
      <c r="X474" s="205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0" t="s">
        <v>599</v>
      </c>
      <c r="W476" s="2050"/>
      <c r="X476" s="205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0" t="s">
        <v>599</v>
      </c>
      <c r="W481" s="2050"/>
      <c r="X481" s="205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9"/>
      <c r="E484" s="2049"/>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0" t="s">
        <v>599</v>
      </c>
      <c r="W485" s="2050"/>
      <c r="X485" s="205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0" t="s">
        <v>599</v>
      </c>
      <c r="W487" s="2050"/>
      <c r="X487" s="205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599</v>
      </c>
      <c r="D490" s="2039"/>
      <c r="E490" s="795" t="s">
        <v>515</v>
      </c>
      <c r="F490" s="2040" t="s">
        <v>1629</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599</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599</v>
      </c>
      <c r="D494" s="2039"/>
      <c r="E494" s="795" t="s">
        <v>766</v>
      </c>
      <c r="F494" s="2046" t="s">
        <v>1651</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8" t="s">
        <v>599</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8" t="s">
        <v>599</v>
      </c>
      <c r="D499" s="2039"/>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1"/>
      <c r="D501" s="2049"/>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599</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599</v>
      </c>
      <c r="D504" s="2064"/>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599</v>
      </c>
      <c r="D508" s="2064"/>
      <c r="F508" s="829" t="s">
        <v>1659</v>
      </c>
      <c r="G508" s="2016" t="s">
        <v>1660</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599</v>
      </c>
      <c r="D512" s="205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599</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1672</v>
      </c>
      <c r="AF527" s="1907"/>
      <c r="AG527" s="1907"/>
      <c r="AH527" s="1907"/>
      <c r="AI527" s="1907"/>
      <c r="AJ527" s="1907"/>
      <c r="AK527" s="190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553</v>
      </c>
      <c r="D530" s="1969"/>
      <c r="E530" s="585"/>
      <c r="F530" s="2055" t="s">
        <v>1673</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599</v>
      </c>
      <c r="D533" s="1969"/>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1675</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1676</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49441249</v>
      </c>
      <c r="AQ539" s="2119"/>
      <c r="AR539" s="2119"/>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50610684</v>
      </c>
      <c r="AG540" s="1975"/>
      <c r="AH540" s="1975"/>
      <c r="AI540" s="1975"/>
      <c r="AJ540" s="1975"/>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83555710.559999973</v>
      </c>
      <c r="AG541" s="2124"/>
      <c r="AH541" s="2124"/>
      <c r="AI541" s="2124"/>
      <c r="AJ541" s="2124"/>
      <c r="AK541" s="629"/>
      <c r="AL541" s="629"/>
      <c r="AM541" s="629"/>
      <c r="AN541" s="631"/>
      <c r="AP541" s="2119">
        <f>Application!AJ1044</f>
        <v>8899424.8200000003</v>
      </c>
      <c r="AQ541" s="2119"/>
      <c r="AR541" s="211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0.39</v>
      </c>
      <c r="AG542" s="2125"/>
      <c r="AH542" s="2125"/>
      <c r="AI542" s="2125"/>
      <c r="AJ542" s="2125"/>
      <c r="AK542" s="629"/>
      <c r="AL542" s="629"/>
      <c r="AM542" s="629"/>
      <c r="AN542" s="631"/>
      <c r="AP542" s="2122">
        <f>Application!AJ1048</f>
        <v>12854724.74</v>
      </c>
      <c r="AQ542" s="2122"/>
      <c r="AR542" s="2122"/>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0.44000000000000006</v>
      </c>
      <c r="AQ543" s="2118"/>
      <c r="AR543" s="2118"/>
      <c r="AS543" s="584" t="s">
        <v>2536</v>
      </c>
    </row>
    <row r="544" spans="1:49" s="584" customFormat="1" ht="12.75" customHeight="1">
      <c r="A544" s="658"/>
      <c r="B544" s="2071" t="s">
        <v>2346</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61801560.999999978</v>
      </c>
      <c r="AQ545" s="2027"/>
      <c r="AR545" s="2027"/>
      <c r="AS545" s="584" t="s">
        <v>2538</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83555710.559999987</v>
      </c>
      <c r="AQ546" s="2119"/>
      <c r="AR546" s="2119"/>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0">
        <f>IFERROR(IF(AND(C530="N/A",C533="N/A"),0,IF(AF542=0,0,IF((AF542*100)&gt;12,12,(AF542*100)))),0)</f>
        <v>12</v>
      </c>
      <c r="AL548" s="2080"/>
      <c r="AM548" s="2081"/>
      <c r="AN548" s="631"/>
      <c r="AP548" s="2135">
        <f>AP545+(AP539*AP543)</f>
        <v>83555710.559999973</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1425</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2337</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1449</v>
      </c>
      <c r="AG567" s="1939"/>
      <c r="AH567" s="1939"/>
      <c r="AI567" s="1939"/>
      <c r="AJ567" s="1939"/>
      <c r="AK567" s="1939"/>
      <c r="AL567" s="1939"/>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1507</v>
      </c>
      <c r="AG574" s="1939"/>
      <c r="AH574" s="1939"/>
      <c r="AI574" s="1939"/>
      <c r="AJ574" s="1939"/>
      <c r="AK574" s="1939"/>
      <c r="AL574" s="1939"/>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1489</v>
      </c>
      <c r="AG580" s="1939"/>
      <c r="AH580" s="1939"/>
      <c r="AI580" s="1939"/>
      <c r="AJ580" s="1939"/>
      <c r="AK580" s="1939"/>
      <c r="AL580" s="1939"/>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1510</v>
      </c>
      <c r="AG586" s="1939"/>
      <c r="AH586" s="1939"/>
      <c r="AI586" s="1939"/>
      <c r="AJ586" s="1939"/>
      <c r="AK586" s="1939"/>
      <c r="AL586" s="1939"/>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3" t="s">
        <v>1290</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1463</v>
      </c>
      <c r="AG592" s="1939"/>
      <c r="AH592" s="1939"/>
      <c r="AI592" s="1939"/>
      <c r="AJ592" s="1939"/>
      <c r="AK592" s="1939"/>
      <c r="AL592" s="1939"/>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1" t="s">
        <v>696</v>
      </c>
      <c r="I595" s="2021"/>
      <c r="J595" s="971"/>
      <c r="K595" s="971"/>
      <c r="L595" s="971"/>
      <c r="N595" s="22"/>
      <c r="O595" s="22"/>
      <c r="P595" s="22"/>
      <c r="Q595" s="1195" t="s">
        <v>2541</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2" t="s">
        <v>599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6" t="s">
        <v>599</v>
      </c>
      <c r="C605" s="1966"/>
      <c r="D605" s="676"/>
      <c r="E605" s="1992" t="s">
        <v>1514</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2">
        <f>VLOOKUP($H$595,$AO$575:$AP$580,2,FALSE)+IF(R595=AO583,0,VLOOKUP($I$603,$AO$602:$AP$604,2,FALSE))</f>
        <v>7</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0" t="s">
        <v>1884</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1463</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6" t="s">
        <v>599</v>
      </c>
      <c r="Y623" s="196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1519</v>
      </c>
      <c r="AG625" s="1939"/>
      <c r="AH625" s="1939"/>
      <c r="AI625" s="1939"/>
      <c r="AJ625" s="1939"/>
      <c r="AK625" s="1939"/>
      <c r="AL625" s="1939"/>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1" t="s">
        <v>696</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2">
        <f>VLOOKUP($H$627,$AO$594:$AP$596,2,FALSE)</f>
        <v>3</v>
      </c>
      <c r="AK629" s="197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2" t="s">
        <v>2416</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1463</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1519</v>
      </c>
      <c r="AG636" s="1939"/>
      <c r="AH636" s="1939"/>
      <c r="AI636" s="1939"/>
      <c r="AJ636" s="1939"/>
      <c r="AK636" s="1939"/>
      <c r="AL636" s="1939"/>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1" t="s">
        <v>517</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2">
        <f>VLOOKUP(H639,AT594:AU596,2,FALSE)</f>
        <v>2</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2" t="s">
        <v>1529</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1489</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2" t="s">
        <v>1530</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1510</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2" t="s">
        <v>1531</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1463</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599</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2" t="s">
        <v>1532</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1510</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2" t="s">
        <v>1533</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1463</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2" t="s">
        <v>1534</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1519</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2" t="s">
        <v>1535</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1536</v>
      </c>
      <c r="AG670" s="1939"/>
      <c r="AH670" s="1939"/>
      <c r="AI670" s="1939"/>
      <c r="AJ670" s="1939"/>
      <c r="AK670" s="1939"/>
      <c r="AL670" s="1939"/>
      <c r="AM670" s="630"/>
      <c r="AN670" s="631"/>
      <c r="AO670" s="645" t="s">
        <v>696</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1" t="s">
        <v>599</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2">
        <f>VLOOKUP($H$674,$AO$622:$AP$629,2,FALSE)</f>
        <v>0</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81</v>
      </c>
    </row>
    <row r="680" spans="1:51" s="584" customFormat="1" ht="12.75" customHeight="1">
      <c r="A680" s="713"/>
      <c r="B680" s="570"/>
      <c r="C680" s="983"/>
      <c r="D680" s="697" t="s">
        <v>696</v>
      </c>
      <c r="E680" s="2028" t="s">
        <v>2554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1463</v>
      </c>
      <c r="AG680" s="1939"/>
      <c r="AH680" s="1939"/>
      <c r="AI680" s="1939"/>
      <c r="AJ680" s="1939"/>
      <c r="AK680" s="1939"/>
      <c r="AL680" s="1939"/>
      <c r="AN680" s="631"/>
      <c r="AW680" s="22" t="s">
        <v>2549</v>
      </c>
      <c r="AX680" s="584">
        <f>Application!CC632</f>
        <v>21</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92" t="s">
        <v>2453</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1463</v>
      </c>
      <c r="AG683" s="1939"/>
      <c r="AH683" s="1939"/>
      <c r="AI683" s="1939"/>
      <c r="AJ683" s="1939"/>
      <c r="AK683" s="1939"/>
      <c r="AL683" s="1939"/>
      <c r="AN683" s="631"/>
      <c r="AW683" s="22" t="s">
        <v>2552</v>
      </c>
      <c r="AX683" s="584">
        <f>AX680+AX681+AX682</f>
        <v>21</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1</v>
      </c>
      <c r="AP684" s="2027"/>
      <c r="AW684" s="22" t="s">
        <v>2553</v>
      </c>
      <c r="AX684" s="584">
        <f>IFERROR(AX683/AX679,0)</f>
        <v>0.25925925925925924</v>
      </c>
      <c r="AY684" s="584">
        <f>IFERROR(AX683/(AX679-AX678),0)</f>
        <v>0.25925925925925924</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2" t="s">
        <v>2454</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1519</v>
      </c>
      <c r="AG688" s="1939"/>
      <c r="AH688" s="1939"/>
      <c r="AI688" s="1939"/>
      <c r="AJ688" s="1939"/>
      <c r="AK688" s="1939"/>
      <c r="AL688" s="1939"/>
      <c r="AN688" s="631"/>
      <c r="AO688" s="645" t="s">
        <v>517</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3"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2" t="s">
        <v>1883</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1" t="s">
        <v>517</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2">
        <f>VLOOKUP($H$698,$AO$692:$AP$694,2,FALSE)</f>
        <v>3</v>
      </c>
      <c r="AK700" s="197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1463</v>
      </c>
      <c r="AG704" s="1939"/>
      <c r="AH704" s="1939"/>
      <c r="AI704" s="1939"/>
      <c r="AJ704" s="1939"/>
      <c r="AK704" s="1939"/>
      <c r="AL704" s="1939"/>
      <c r="AM704" s="584"/>
      <c r="AN704" s="718"/>
      <c r="AP704" s="604" t="s">
        <v>1543</v>
      </c>
    </row>
    <row r="705" spans="1:52" s="604" customFormat="1" ht="11.7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1519</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1" t="s">
        <v>599</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2" t="s">
        <v>1886</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1463</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2" t="s">
        <v>1550</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1519</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1" t="s">
        <v>599</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2" t="s">
        <v>1553</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1463</v>
      </c>
      <c r="AG730" s="1939"/>
      <c r="AH730" s="1939"/>
      <c r="AI730" s="1939"/>
      <c r="AJ730" s="1939"/>
      <c r="AK730" s="1939"/>
      <c r="AL730" s="1939"/>
      <c r="AM730" s="584"/>
      <c r="AN730" s="718"/>
      <c r="AT730" s="14"/>
      <c r="AU730" s="14"/>
      <c r="AV730" s="14"/>
      <c r="AW730" s="14"/>
      <c r="AX730" s="14"/>
      <c r="AY730" s="14"/>
      <c r="AZ730" s="14"/>
    </row>
    <row r="731" spans="1:81" s="604" customFormat="1">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2" t="s">
        <v>1554</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1519</v>
      </c>
      <c r="AG735" s="1939"/>
      <c r="AH735" s="1939"/>
      <c r="AI735" s="1939"/>
      <c r="AJ735" s="1939"/>
      <c r="AK735" s="1939"/>
      <c r="AL735" s="1939"/>
      <c r="AM735" s="584"/>
      <c r="AN735" s="718"/>
      <c r="AO735" s="30"/>
      <c r="AP735" s="14"/>
    </row>
    <row r="736" spans="1:81" s="604" customFormat="1">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1" t="s">
        <v>599</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2">
        <f>VLOOKUP($H$740,$AO$669:$AP$671,2,FALSE)</f>
        <v>0</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2" t="s">
        <v>1556</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1519</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2" t="s">
        <v>1557</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1536</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1" t="s">
        <v>599</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2">
        <f>VLOOKUP($H$752,$AO$686:$AP$688,2,FALSE)</f>
        <v>0</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2" t="s">
        <v>1882</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1519</v>
      </c>
      <c r="AG758" s="1939"/>
      <c r="AH758" s="1939"/>
      <c r="AI758" s="1939"/>
      <c r="AJ758" s="1939"/>
      <c r="AK758" s="1939"/>
      <c r="AL758" s="1939"/>
      <c r="AM758" s="647"/>
      <c r="AN758" s="718"/>
      <c r="AO758" s="584" t="s">
        <v>599</v>
      </c>
      <c r="AP758" s="707">
        <v>0</v>
      </c>
    </row>
    <row r="759" spans="1:74" s="604" customFormat="1" ht="13.75"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1" t="s">
        <v>1887</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1463</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1" t="s">
        <v>599</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2">
        <f>VLOOKUP($H$768,$AO$758:$AP$760,2,FALSE)</f>
        <v>0</v>
      </c>
      <c r="AK770" s="197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2" t="s">
        <v>2347</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1463</v>
      </c>
      <c r="AG774" s="1939"/>
      <c r="AH774" s="1939"/>
      <c r="AI774" s="1939"/>
      <c r="AJ774" s="1939"/>
      <c r="AK774" s="1939"/>
      <c r="AL774" s="1939"/>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1" t="s">
        <v>599</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1680</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5" t="s">
        <v>1681</v>
      </c>
      <c r="U791" s="2086"/>
      <c r="V791" s="2086"/>
      <c r="W791" s="2086"/>
      <c r="X791" s="2086"/>
      <c r="Y791" s="2087"/>
      <c r="Z791" s="2085" t="s">
        <v>1682</v>
      </c>
      <c r="AA791" s="2086"/>
      <c r="AB791" s="2086"/>
      <c r="AC791" s="2086"/>
      <c r="AD791" s="2086"/>
      <c r="AE791" s="2087"/>
      <c r="AF791" s="2085" t="s">
        <v>1683</v>
      </c>
      <c r="AG791" s="2086"/>
      <c r="AH791" s="2086"/>
      <c r="AI791" s="2086"/>
      <c r="AJ791" s="2086"/>
      <c r="AK791" s="20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c r="A793" s="853" t="s">
        <v>766</v>
      </c>
      <c r="B793" s="2065" t="s">
        <v>1415</v>
      </c>
      <c r="C793" s="2065"/>
      <c r="D793" s="2065"/>
      <c r="E793" s="2065"/>
      <c r="F793" s="2065"/>
      <c r="G793" s="2065"/>
      <c r="H793" s="2065"/>
      <c r="I793" s="2065"/>
      <c r="J793" s="2065"/>
      <c r="K793" s="2065"/>
      <c r="L793" s="2065"/>
      <c r="M793" s="2065"/>
      <c r="N793" s="2065"/>
      <c r="O793" s="2065"/>
      <c r="P793" s="2065"/>
      <c r="Q793" s="2065"/>
      <c r="R793" s="2065"/>
      <c r="S793" s="2066"/>
      <c r="T793" s="2067">
        <f>AK56</f>
        <v>0</v>
      </c>
      <c r="U793" s="2068"/>
      <c r="V793" s="2068"/>
      <c r="W793" s="2068"/>
      <c r="X793" s="2068"/>
      <c r="Y793" s="2069"/>
      <c r="Z793" s="2070">
        <v>20</v>
      </c>
      <c r="AA793" s="2068"/>
      <c r="AB793" s="2068"/>
      <c r="AC793" s="2068"/>
      <c r="AD793" s="2068"/>
      <c r="AE793" s="2069"/>
      <c r="AF793" s="2034">
        <f>IF(T793&gt;Z793,Z793,T793)</f>
        <v>0</v>
      </c>
      <c r="AG793" s="2034"/>
      <c r="AH793" s="2034"/>
      <c r="AI793" s="2034"/>
      <c r="AJ793" s="2034"/>
      <c r="AK793" s="2034"/>
      <c r="AL793" s="852"/>
      <c r="AM793" s="630"/>
      <c r="AO793" s="850"/>
      <c r="AP793" s="850"/>
      <c r="AQ793" s="850"/>
    </row>
    <row r="794" spans="1:43">
      <c r="A794" s="853" t="s">
        <v>1653</v>
      </c>
      <c r="B794" s="2065" t="s">
        <v>1424</v>
      </c>
      <c r="C794" s="2065"/>
      <c r="D794" s="2065"/>
      <c r="E794" s="2065"/>
      <c r="F794" s="2065"/>
      <c r="G794" s="2065"/>
      <c r="H794" s="2065"/>
      <c r="I794" s="2065"/>
      <c r="J794" s="2065"/>
      <c r="K794" s="2065"/>
      <c r="L794" s="2065"/>
      <c r="M794" s="2065"/>
      <c r="N794" s="2065"/>
      <c r="O794" s="2065"/>
      <c r="P794" s="2065"/>
      <c r="Q794" s="2065"/>
      <c r="R794" s="2065"/>
      <c r="S794" s="2066"/>
      <c r="T794" s="2067">
        <f>AK78</f>
        <v>10</v>
      </c>
      <c r="U794" s="2068"/>
      <c r="V794" s="2068"/>
      <c r="W794" s="2068"/>
      <c r="X794" s="2068"/>
      <c r="Y794" s="2069"/>
      <c r="Z794" s="2070">
        <v>10</v>
      </c>
      <c r="AA794" s="2068"/>
      <c r="AB794" s="2068"/>
      <c r="AC794" s="2068"/>
      <c r="AD794" s="2068"/>
      <c r="AE794" s="2069"/>
      <c r="AF794" s="2034">
        <f>IF(T794&gt;Z794,Z794,T794)</f>
        <v>10</v>
      </c>
      <c r="AG794" s="2034"/>
      <c r="AH794" s="2034"/>
      <c r="AI794" s="2034"/>
      <c r="AJ794" s="2034"/>
      <c r="AK794" s="2034"/>
      <c r="AL794" s="852"/>
      <c r="AM794" s="630"/>
      <c r="AO794" s="850"/>
      <c r="AP794" s="850"/>
      <c r="AQ794" s="850"/>
    </row>
    <row r="795" spans="1:43">
      <c r="A795" s="853" t="s">
        <v>1662</v>
      </c>
      <c r="B795" s="2065" t="s">
        <v>1434</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c r="A796" s="853" t="s">
        <v>1684</v>
      </c>
      <c r="B796" s="2065" t="s">
        <v>1444</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c r="A797" s="854" t="s">
        <v>1685</v>
      </c>
      <c r="B797" s="2065" t="s">
        <v>1686</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c r="A798" s="569"/>
      <c r="B798" s="635"/>
      <c r="C798" s="2092" t="s">
        <v>1687</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c r="A799" s="634"/>
      <c r="B799" s="635"/>
      <c r="C799" s="2092" t="s">
        <v>1688</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c r="A800" s="854" t="s">
        <v>1472</v>
      </c>
      <c r="B800" s="2065" t="s">
        <v>1689</v>
      </c>
      <c r="C800" s="2065"/>
      <c r="D800" s="2065"/>
      <c r="E800" s="2065"/>
      <c r="F800" s="2065"/>
      <c r="G800" s="2065"/>
      <c r="H800" s="2065"/>
      <c r="I800" s="2065"/>
      <c r="J800" s="2065"/>
      <c r="K800" s="2065"/>
      <c r="L800" s="2065"/>
      <c r="M800" s="2065"/>
      <c r="N800" s="2065"/>
      <c r="O800" s="2065"/>
      <c r="P800" s="2065"/>
      <c r="Q800" s="2065"/>
      <c r="R800" s="2065"/>
      <c r="S800" s="2066"/>
      <c r="T800" s="2091">
        <f>AK180</f>
        <v>10</v>
      </c>
      <c r="U800" s="2091"/>
      <c r="V800" s="2091"/>
      <c r="W800" s="2091"/>
      <c r="X800" s="2091"/>
      <c r="Y800" s="2091"/>
      <c r="Z800" s="2034">
        <v>10</v>
      </c>
      <c r="AA800" s="2034"/>
      <c r="AB800" s="2034"/>
      <c r="AC800" s="2034"/>
      <c r="AD800" s="2034"/>
      <c r="AE800" s="2034"/>
      <c r="AF800" s="2034">
        <f>IF(T800&gt;Z800,Z800,T800)</f>
        <v>10</v>
      </c>
      <c r="AG800" s="2034"/>
      <c r="AH800" s="2034"/>
      <c r="AI800" s="2034"/>
      <c r="AJ800" s="2034"/>
      <c r="AK800" s="2034"/>
      <c r="AL800" s="852"/>
      <c r="AM800" s="630"/>
    </row>
    <row r="801" spans="1:81">
      <c r="A801" s="853" t="s">
        <v>1481</v>
      </c>
      <c r="B801" s="2065" t="s">
        <v>1482</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idden="1">
      <c r="A802" s="854" t="s">
        <v>597</v>
      </c>
      <c r="B802" s="2065" t="s">
        <v>1690</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5" t="s">
        <v>1691</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5" t="s">
        <v>1492</v>
      </c>
      <c r="C804" s="2065"/>
      <c r="D804" s="2065"/>
      <c r="E804" s="2065"/>
      <c r="F804" s="2065"/>
      <c r="G804" s="2065"/>
      <c r="H804" s="2065"/>
      <c r="I804" s="2065"/>
      <c r="J804" s="2065"/>
      <c r="K804" s="2065"/>
      <c r="L804" s="2065"/>
      <c r="M804" s="2065"/>
      <c r="N804" s="2065"/>
      <c r="O804" s="2065"/>
      <c r="P804" s="2065"/>
      <c r="Q804" s="2065"/>
      <c r="R804" s="2065"/>
      <c r="S804" s="2066"/>
      <c r="T804" s="2091">
        <f>AK327</f>
        <v>9</v>
      </c>
      <c r="U804" s="2091"/>
      <c r="V804" s="2091"/>
      <c r="W804" s="2091"/>
      <c r="X804" s="2091"/>
      <c r="Y804" s="2091"/>
      <c r="Z804" s="2097">
        <v>10</v>
      </c>
      <c r="AA804" s="2098"/>
      <c r="AB804" s="2098"/>
      <c r="AC804" s="2098"/>
      <c r="AD804" s="2098"/>
      <c r="AE804" s="2099"/>
      <c r="AF804" s="2097">
        <f>IF(T804&gt;Z804,Z804,T804)</f>
        <v>9</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7">
        <f>AK327</f>
        <v>9</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5" t="s">
        <v>856</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5" t="s">
        <v>1671</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5" t="s">
        <v>1693</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5" t="s">
        <v>1694</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1695</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0" t="s">
        <v>1696</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119</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62" sqref="L62"/>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6" t="s">
        <v>1697</v>
      </c>
      <c r="B1" s="2156"/>
      <c r="C1" s="2156"/>
      <c r="D1" s="2156"/>
      <c r="E1" s="2156"/>
      <c r="F1" s="2156"/>
      <c r="G1" s="2156"/>
      <c r="H1" s="2156"/>
      <c r="I1" s="2156"/>
      <c r="J1" s="2156"/>
    </row>
    <row r="2" spans="1:13" ht="15" customHeight="1" thickBot="1">
      <c r="A2" s="1081"/>
      <c r="B2" s="1081"/>
      <c r="I2" s="1082"/>
      <c r="K2" s="1083"/>
    </row>
    <row r="3" spans="1:13" s="1086" customFormat="1" ht="20" customHeight="1">
      <c r="A3" s="1140"/>
      <c r="B3" s="1141"/>
      <c r="C3" s="1142"/>
      <c r="D3" s="1147"/>
      <c r="E3" s="1142"/>
      <c r="F3" s="1143" t="s">
        <v>2300</v>
      </c>
      <c r="G3" s="1142"/>
      <c r="H3" s="1144">
        <f>E16</f>
        <v>20892226</v>
      </c>
      <c r="I3" s="1145"/>
    </row>
    <row r="4" spans="1:13" s="1086" customFormat="1" ht="20" customHeight="1">
      <c r="B4" s="1134"/>
      <c r="D4" s="1148"/>
      <c r="F4" s="1132" t="s">
        <v>2302</v>
      </c>
      <c r="G4" s="1131" t="s">
        <v>2301</v>
      </c>
      <c r="H4" s="1133">
        <f>I16</f>
        <v>37376586.888725489</v>
      </c>
      <c r="I4" s="1135"/>
      <c r="K4" s="1090"/>
    </row>
    <row r="5" spans="1:13" s="1086" customFormat="1" ht="20" customHeight="1" thickBot="1">
      <c r="B5" s="1136"/>
      <c r="C5" s="1137"/>
      <c r="D5" s="1149"/>
      <c r="E5" s="1138"/>
      <c r="F5" s="1149" t="s">
        <v>2242</v>
      </c>
      <c r="G5" s="1150"/>
      <c r="H5" s="1146">
        <f>H3/H4</f>
        <v>0.55896559153992909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2240</v>
      </c>
      <c r="C8" s="2159"/>
      <c r="D8" s="2159"/>
      <c r="E8" s="2160"/>
      <c r="G8" s="2161" t="s">
        <v>2241</v>
      </c>
      <c r="H8" s="2162"/>
      <c r="I8" s="2163"/>
      <c r="K8" s="1092"/>
    </row>
    <row r="9" spans="1:13" ht="15" customHeight="1">
      <c r="A9" s="1081"/>
      <c r="B9" s="2157" t="s">
        <v>2279</v>
      </c>
      <c r="C9" s="2157"/>
      <c r="D9" s="2157"/>
      <c r="E9" s="1094">
        <f>G31</f>
        <v>4837500</v>
      </c>
      <c r="G9" s="2166" t="s">
        <v>2277</v>
      </c>
      <c r="H9" s="2166"/>
      <c r="I9" s="1095">
        <f>Application!AM554</f>
        <v>29358653</v>
      </c>
      <c r="K9" s="1096"/>
      <c r="M9" s="1097"/>
    </row>
    <row r="10" spans="1:13" ht="15" customHeight="1" thickBot="1">
      <c r="A10" s="1081"/>
      <c r="B10" s="2157" t="s">
        <v>2280</v>
      </c>
      <c r="C10" s="2157"/>
      <c r="D10" s="2157"/>
      <c r="E10" s="1095">
        <f>G40</f>
        <v>7997976.0000000019</v>
      </c>
      <c r="G10" s="2166" t="s">
        <v>2243</v>
      </c>
      <c r="H10" s="2166"/>
      <c r="I10" s="1182">
        <f>'Basis &amp; Credits'!AB77</f>
        <v>15183205</v>
      </c>
      <c r="M10" s="1097"/>
    </row>
    <row r="11" spans="1:13" ht="15" customHeight="1">
      <c r="A11" s="1098"/>
      <c r="B11" s="2157" t="s">
        <v>2281</v>
      </c>
      <c r="C11" s="2157"/>
      <c r="D11" s="2157"/>
      <c r="E11" s="1095">
        <f>G49</f>
        <v>0</v>
      </c>
      <c r="G11" s="2166" t="s">
        <v>2292</v>
      </c>
      <c r="H11" s="2166"/>
      <c r="I11" s="1181">
        <f>I9+I10</f>
        <v>44541858</v>
      </c>
      <c r="M11" s="1097"/>
    </row>
    <row r="12" spans="1:13" ht="15" customHeight="1">
      <c r="A12" s="1084"/>
      <c r="B12" s="2157" t="s">
        <v>2282</v>
      </c>
      <c r="C12" s="2157"/>
      <c r="D12" s="2157"/>
      <c r="E12" s="1095">
        <f>G58</f>
        <v>220000</v>
      </c>
      <c r="G12" s="1183" t="s">
        <v>2317</v>
      </c>
      <c r="H12" s="1184"/>
      <c r="M12" s="1097"/>
    </row>
    <row r="13" spans="1:13" ht="15" customHeight="1">
      <c r="A13" s="1081"/>
      <c r="B13" s="2157" t="s">
        <v>2283</v>
      </c>
      <c r="C13" s="2157"/>
      <c r="D13" s="2157"/>
      <c r="E13" s="1100">
        <f>G83</f>
        <v>5901750</v>
      </c>
      <c r="G13" s="2167" t="s">
        <v>139</v>
      </c>
      <c r="H13" s="2167"/>
      <c r="I13" s="1099">
        <f>15%*(Application!AJ993&gt;0)</f>
        <v>0</v>
      </c>
      <c r="M13" s="1097"/>
    </row>
    <row r="14" spans="1:13" ht="15" customHeight="1">
      <c r="A14" s="1081"/>
      <c r="B14" s="2157" t="s">
        <v>2284</v>
      </c>
      <c r="C14" s="2157"/>
      <c r="D14" s="2157"/>
      <c r="E14" s="1095">
        <f>IF(G96&gt;G106,G96,0)</f>
        <v>0</v>
      </c>
      <c r="G14" s="1179" t="s">
        <v>2293</v>
      </c>
      <c r="H14" s="1179"/>
      <c r="I14" s="1099">
        <f>IF(Application!AJ1031&gt;0,10%,IF(Application!AJ1035&gt;0,5%,0))</f>
        <v>0.1</v>
      </c>
      <c r="M14" s="1097"/>
    </row>
    <row r="15" spans="1:13" ht="15" customHeight="1" thickBot="1">
      <c r="A15" s="1081"/>
      <c r="B15" s="2164" t="s">
        <v>2303</v>
      </c>
      <c r="C15" s="2164"/>
      <c r="D15" s="2164"/>
      <c r="E15" s="1151">
        <f>IF(E14&gt;0,0,G106)</f>
        <v>1935000</v>
      </c>
      <c r="G15" s="2170" t="s">
        <v>2294</v>
      </c>
      <c r="H15" s="2171"/>
      <c r="I15" s="1153">
        <f>G114</f>
        <v>6.0866013071895424E-2</v>
      </c>
      <c r="M15" s="1097"/>
    </row>
    <row r="16" spans="1:13" ht="15" customHeight="1">
      <c r="A16" s="1081"/>
      <c r="B16" s="2165" t="s">
        <v>2239</v>
      </c>
      <c r="C16" s="2165"/>
      <c r="D16" s="2165"/>
      <c r="E16" s="1152">
        <f>SUM(E9:E15)</f>
        <v>20892226</v>
      </c>
      <c r="G16" s="1180" t="s">
        <v>2278</v>
      </c>
      <c r="H16" s="1180"/>
      <c r="I16" s="1154">
        <f>I11-((I11*I13)+(I11*I14)+(I11*I15))</f>
        <v>37376586.888725489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81</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68" t="s">
        <v>2296</v>
      </c>
      <c r="D20" s="2168" t="s">
        <v>2297</v>
      </c>
      <c r="E20" s="2168" t="s">
        <v>2298</v>
      </c>
      <c r="F20" s="2168" t="s">
        <v>2299</v>
      </c>
      <c r="G20" s="2168" t="s">
        <v>2295</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9"/>
      <c r="D21" s="2169"/>
      <c r="E21" s="2169"/>
      <c r="F21" s="2169"/>
      <c r="G21" s="2169"/>
      <c r="H21" s="1108"/>
      <c r="I21" s="1107"/>
      <c r="L21" s="1079">
        <f>IFERROR(MIN(4,MATCH(Application!B719,UnitSizes,0)-1),"")</f>
        <v>2</v>
      </c>
      <c r="M21" s="1101">
        <f>Application!G719</f>
        <v>3</v>
      </c>
      <c r="N21" s="1109">
        <f>Application!AC719</f>
        <v>0.3</v>
      </c>
      <c r="O21" s="1109">
        <f>IF(Cdlac[[#This Row],[Quantity]]&gt;0,IF(Cdlac[[#This Row],[Federal]],30%,IF($G$36,40%,Cdlac[[#This Row],[iAMI]])),"")</f>
        <v>0.3</v>
      </c>
      <c r="P21" s="1101" cm="1">
        <f t="array" ref="P21">IF(Cdlac[[#This Row],[Quantity]]&gt;0,INDEX(TcacRents,$P$18,Cdlac[[#This Row],[Bedrooms]]+1)*Cdlac[[#This Row],[AMI]],"")</f>
        <v>850.8</v>
      </c>
      <c r="Q21" s="1101" cm="1">
        <f t="array" ref="Q21">IF(Cdlac[[#This Row],[Quantity]]&gt;0,INDEX(HudFmrs,$P$18,Cdlac[[#This Row],[Bedrooms]]+1),"")</f>
        <v>2222</v>
      </c>
      <c r="R21" s="1101">
        <f>IF(Cdlac[[#This Row],[Quantity]]&gt;0,MAX(0,Cdlac[[#This Row],[Fair Market Rent]]-Cdlac[[#This Row],[Restricted Rent]]),"")</f>
        <v>1371.2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3</v>
      </c>
      <c r="N22" s="1109">
        <f>Application!AC720</f>
        <v>0.3</v>
      </c>
      <c r="O22" s="1109">
        <f>IF(Cdlac[[#This Row],[Quantity]]&gt;0,IF(Cdlac[[#This Row],[Federal]],30%,IF($G$36,40%,Cdlac[[#This Row],[iAMI]])),"")</f>
        <v>0.3</v>
      </c>
      <c r="P22" s="1101" cm="1">
        <f t="array" ref="P22">IF(Cdlac[[#This Row],[Quantity]]&gt;0,INDEX(TcacRents,$P$18,Cdlac[[#This Row],[Bedrooms]]+1)*Cdlac[[#This Row],[AMI]],"")</f>
        <v>983.4</v>
      </c>
      <c r="Q22" s="1101" cm="1">
        <f t="array" ref="Q22">IF(Cdlac[[#This Row],[Quantity]]&gt;0,INDEX(HudFmrs,$P$18,Cdlac[[#This Row],[Bedrooms]]+1),"")</f>
        <v>2888</v>
      </c>
      <c r="R22" s="1101">
        <f>IF(Cdlac[[#This Row],[Quantity]]&gt;0,MAX(0,Cdlac[[#This Row],[Fair Market Rent]]-Cdlac[[#This Row],[Restricted Rent]]),"")</f>
        <v>1904.6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39</v>
      </c>
      <c r="F23" s="1110">
        <f>E23</f>
        <v>39</v>
      </c>
      <c r="G23" s="1110">
        <f>D23*F23</f>
        <v>39</v>
      </c>
      <c r="L23" s="1079">
        <f>IFERROR(MIN(4,MATCH(Application!B721,UnitSizes,0)-1),"")</f>
        <v>1</v>
      </c>
      <c r="M23" s="1101">
        <f>Application!G721</f>
        <v>7</v>
      </c>
      <c r="N23" s="1109">
        <f>Application!AC721</f>
        <v>0.5</v>
      </c>
      <c r="O23" s="1109">
        <f>IF(Cdlac[[#This Row],[Quantity]]&gt;0,IF(Cdlac[[#This Row],[Federal]],30%,IF($G$36,40%,Cdlac[[#This Row],[iAMI]])),"")</f>
        <v>0.5</v>
      </c>
      <c r="P23" s="1101" cm="1">
        <f t="array" ref="P23">IF(Cdlac[[#This Row],[Quantity]]&gt;0,INDEX(TcacRents,$P$18,Cdlac[[#This Row],[Bedrooms]]+1)*Cdlac[[#This Row],[AMI]],"")</f>
        <v>1182</v>
      </c>
      <c r="Q23" s="1101" cm="1">
        <f t="array" ref="Q23">IF(Cdlac[[#This Row],[Quantity]]&gt;0,INDEX(HudFmrs,$P$18,Cdlac[[#This Row],[Bedrooms]]+1),"")</f>
        <v>1747</v>
      </c>
      <c r="R23" s="1101">
        <f>IF(Cdlac[[#This Row],[Quantity]]&gt;0,MAX(0,Cdlac[[#This Row],[Fair Market Rent]]-Cdlac[[#This Row],[Restricted Rent]]),"")</f>
        <v>565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21</v>
      </c>
      <c r="F24" s="1113">
        <f>SUM(E24:E26)-SUM(F25:F26)</f>
        <v>21</v>
      </c>
      <c r="G24" s="1110">
        <f>D24*F24</f>
        <v>26.25</v>
      </c>
      <c r="H24" s="1112"/>
      <c r="I24" s="1112"/>
      <c r="L24" s="1079">
        <f>IFERROR(MIN(4,MATCH(Application!B722,UnitSizes,0)-1),"")</f>
        <v>2</v>
      </c>
      <c r="M24" s="1101">
        <f>Application!G722</f>
        <v>5</v>
      </c>
      <c r="N24" s="1109">
        <f>Application!AC722</f>
        <v>0.5</v>
      </c>
      <c r="O24" s="1109">
        <f>IF(Cdlac[[#This Row],[Quantity]]&gt;0,IF(Cdlac[[#This Row],[Federal]],30%,IF($G$36,40%,Cdlac[[#This Row],[iAMI]])),"")</f>
        <v>0.5</v>
      </c>
      <c r="P24" s="1101" cm="1">
        <f t="array" ref="P24">IF(Cdlac[[#This Row],[Quantity]]&gt;0,INDEX(TcacRents,$P$18,Cdlac[[#This Row],[Bedrooms]]+1)*Cdlac[[#This Row],[AMI]],"")</f>
        <v>1418</v>
      </c>
      <c r="Q24" s="1101" cm="1">
        <f t="array" ref="Q24">IF(Cdlac[[#This Row],[Quantity]]&gt;0,INDEX(HudFmrs,$P$18,Cdlac[[#This Row],[Bedrooms]]+1),"")</f>
        <v>2222</v>
      </c>
      <c r="R24" s="1101">
        <f>IF(Cdlac[[#This Row],[Quantity]]&gt;0,MAX(0,Cdlac[[#This Row],[Fair Market Rent]]-Cdlac[[#This Row],[Restricted Rent]]),"")</f>
        <v>804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21</v>
      </c>
      <c r="F25" s="1113">
        <f>MIN(E25,ROUNDDOWN(E27*30%,0))</f>
        <v>21</v>
      </c>
      <c r="G25" s="1110">
        <f>D25*F25</f>
        <v>31.5</v>
      </c>
      <c r="H25" s="1112"/>
      <c r="I25" s="1112"/>
      <c r="L25" s="1079">
        <f>IFERROR(MIN(4,MATCH(Application!B723,UnitSizes,0)-1),"")</f>
        <v>3</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1639</v>
      </c>
      <c r="Q25" s="1101" cm="1">
        <f t="array" ref="Q25">IF(Cdlac[[#This Row],[Quantity]]&gt;0,INDEX(HudFmrs,$P$18,Cdlac[[#This Row],[Bedrooms]]+1),"")</f>
        <v>2888</v>
      </c>
      <c r="R25" s="1101">
        <f>IF(Cdlac[[#This Row],[Quantity]]&gt;0,MAX(0,Cdlac[[#This Row],[Fair Market Rent]]-Cdlac[[#This Row],[Restricted Rent]]),"")</f>
        <v>1249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11</v>
      </c>
      <c r="N26" s="1109">
        <f>Application!AC724</f>
        <v>0.6</v>
      </c>
      <c r="O26" s="1109">
        <f>IF(Cdlac[[#This Row],[Quantity]]&gt;0,IF(Cdlac[[#This Row],[Federal]],30%,IF($G$36,40%,Cdlac[[#This Row],[iAMI]])),"")</f>
        <v>0.6</v>
      </c>
      <c r="P26" s="1101" cm="1">
        <f t="array" ref="P26">IF(Cdlac[[#This Row],[Quantity]]&gt;0,INDEX(TcacRents,$P$18,Cdlac[[#This Row],[Bedrooms]]+1)*Cdlac[[#This Row],[AMI]],"")</f>
        <v>1418.3999999999999</v>
      </c>
      <c r="Q26" s="1101" cm="1">
        <f t="array" ref="Q26">IF(Cdlac[[#This Row],[Quantity]]&gt;0,INDEX(HudFmrs,$P$18,Cdlac[[#This Row],[Bedrooms]]+1),"")</f>
        <v>1747</v>
      </c>
      <c r="R26" s="1101">
        <f>IF(Cdlac[[#This Row],[Quantity]]&gt;0,MAX(0,Cdlac[[#This Row],[Fair Market Rent]]-Cdlac[[#This Row],[Restricted Rent]]),"")</f>
        <v>328.60000000000014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2" t="s">
        <v>1698</v>
      </c>
      <c r="D27" s="2153"/>
      <c r="E27" s="1129">
        <f>SUM(E22:E26)</f>
        <v>81</v>
      </c>
      <c r="F27" s="1129">
        <f>SUM(F22:F26)</f>
        <v>81</v>
      </c>
      <c r="G27" s="1130">
        <f>SUMPRODUCT(D22:D26,F22:F26)</f>
        <v>96.75</v>
      </c>
      <c r="H27" s="1112"/>
      <c r="I27" s="1112"/>
      <c r="L27" s="1079">
        <f>IFERROR(MIN(4,MATCH(Application!B725,UnitSizes,0)-1),"")</f>
        <v>2</v>
      </c>
      <c r="M27" s="1101">
        <f>Application!G725</f>
        <v>5</v>
      </c>
      <c r="N27" s="1109">
        <f>Application!AC725</f>
        <v>0.6</v>
      </c>
      <c r="O27" s="1109">
        <f>IF(Cdlac[[#This Row],[Quantity]]&gt;0,IF(Cdlac[[#This Row],[Federal]],30%,IF($G$36,40%,Cdlac[[#This Row],[iAMI]])),"")</f>
        <v>0.6</v>
      </c>
      <c r="P27" s="1101" cm="1">
        <f t="array" ref="P27">IF(Cdlac[[#This Row],[Quantity]]&gt;0,INDEX(TcacRents,$P$18,Cdlac[[#This Row],[Bedrooms]]+1)*Cdlac[[#This Row],[AMI]],"")</f>
        <v>1701.6</v>
      </c>
      <c r="Q27" s="1101" cm="1">
        <f t="array" ref="Q27">IF(Cdlac[[#This Row],[Quantity]]&gt;0,INDEX(HudFmrs,$P$18,Cdlac[[#This Row],[Bedrooms]]+1),"")</f>
        <v>2222</v>
      </c>
      <c r="R27" s="1101">
        <f>IF(Cdlac[[#This Row],[Quantity]]&gt;0,MAX(0,Cdlac[[#This Row],[Fair Market Rent]]-Cdlac[[#This Row],[Restricted Rent]]),"")</f>
        <v>520.40000000000009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1966.8</v>
      </c>
      <c r="Q28" s="1101" cm="1">
        <f t="array" ref="Q28">IF(Cdlac[[#This Row],[Quantity]]&gt;0,INDEX(HudFmrs,$P$18,Cdlac[[#This Row],[Bedrooms]]+1),"")</f>
        <v>2888</v>
      </c>
      <c r="R28" s="1101">
        <f>IF(Cdlac[[#This Row],[Quantity]]&gt;0,MAX(0,Cdlac[[#This Row],[Fair Market Rent]]-Cdlac[[#This Row],[Restricted Rent]]),"")</f>
        <v>921.2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96.75</v>
      </c>
      <c r="H29" s="1112"/>
      <c r="I29" s="1112"/>
      <c r="L29" s="1079">
        <f>IFERROR(MIN(4,MATCH(Application!B727,UnitSizes,0)-1),"")</f>
        <v>1</v>
      </c>
      <c r="M29" s="1101">
        <f>Application!G727</f>
        <v>8</v>
      </c>
      <c r="N29" s="1109">
        <f>Application!AC727</f>
        <v>0.7</v>
      </c>
      <c r="O29" s="1109">
        <f>IF(Cdlac[[#This Row],[Quantity]]&gt;0,IF(Cdlac[[#This Row],[Federal]],30%,IF($G$36,40%,Cdlac[[#This Row],[iAMI]])),"")</f>
        <v>0.7</v>
      </c>
      <c r="P29" s="1101" cm="1">
        <f t="array" ref="P29">IF(Cdlac[[#This Row],[Quantity]]&gt;0,INDEX(TcacRents,$P$18,Cdlac[[#This Row],[Bedrooms]]+1)*Cdlac[[#This Row],[AMI]],"")</f>
        <v>1654.8</v>
      </c>
      <c r="Q29" s="1101" cm="1">
        <f t="array" ref="Q29">IF(Cdlac[[#This Row],[Quantity]]&gt;0,INDEX(HudFmrs,$P$18,Cdlac[[#This Row],[Bedrooms]]+1),"")</f>
        <v>1747</v>
      </c>
      <c r="R29" s="1101">
        <f>IF(Cdlac[[#This Row],[Quantity]]&gt;0,MAX(0,Cdlac[[#This Row],[Fair Market Rent]]-Cdlac[[#This Row],[Restricted Rent]]),"")</f>
        <v>92.200000000000045</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5</v>
      </c>
      <c r="N30" s="1109">
        <f>Application!AC728</f>
        <v>0.7</v>
      </c>
      <c r="O30" s="1109">
        <f>IF(Cdlac[[#This Row],[Quantity]]&gt;0,IF(Cdlac[[#This Row],[Federal]],30%,IF($G$36,40%,Cdlac[[#This Row],[iAMI]])),"")</f>
        <v>0.7</v>
      </c>
      <c r="P30" s="1101" cm="1">
        <f t="array" ref="P30">IF(Cdlac[[#This Row],[Quantity]]&gt;0,INDEX(TcacRents,$P$18,Cdlac[[#This Row],[Bedrooms]]+1)*Cdlac[[#This Row],[AMI]],"")</f>
        <v>1985.1999999999998</v>
      </c>
      <c r="Q30" s="1101" cm="1">
        <f t="array" ref="Q30">IF(Cdlac[[#This Row],[Quantity]]&gt;0,INDEX(HudFmrs,$P$18,Cdlac[[#This Row],[Bedrooms]]+1),"")</f>
        <v>2222</v>
      </c>
      <c r="R30" s="1101">
        <f>IF(Cdlac[[#This Row],[Quantity]]&gt;0,MAX(0,Cdlac[[#This Row],[Fair Market Rent]]-Cdlac[[#This Row],[Restricted Rent]]),"")</f>
        <v>236.80000000000018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4837500</v>
      </c>
      <c r="H31" s="1112"/>
      <c r="I31" s="1112"/>
      <c r="L31" s="1079">
        <f>IFERROR(MIN(4,MATCH(Application!B729,UnitSizes,0)-1),"")</f>
        <v>3</v>
      </c>
      <c r="M31" s="1101">
        <f>Application!G729</f>
        <v>5</v>
      </c>
      <c r="N31" s="1109">
        <f>Application!AC729</f>
        <v>0.7</v>
      </c>
      <c r="O31" s="1109">
        <f>IF(Cdlac[[#This Row],[Quantity]]&gt;0,IF(Cdlac[[#This Row],[Federal]],30%,IF($G$36,40%,Cdlac[[#This Row],[iAMI]])),"")</f>
        <v>0.7</v>
      </c>
      <c r="P31" s="1101" cm="1">
        <f t="array" ref="P31">IF(Cdlac[[#This Row],[Quantity]]&gt;0,INDEX(TcacRents,$P$18,Cdlac[[#This Row],[Bedrooms]]+1)*Cdlac[[#This Row],[AMI]],"")</f>
        <v>2294.6</v>
      </c>
      <c r="Q31" s="1101" cm="1">
        <f t="array" ref="Q31">IF(Cdlac[[#This Row],[Quantity]]&gt;0,INDEX(HudFmrs,$P$18,Cdlac[[#This Row],[Bedrooms]]+1),"")</f>
        <v>2888</v>
      </c>
      <c r="R31" s="1101">
        <f>IF(Cdlac[[#This Row],[Quantity]]&gt;0,MAX(0,Cdlac[[#This Row],[Fair Market Rent]]-Cdlac[[#This Row],[Restricted Rent]]),"")</f>
        <v>593.40000000000009</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1</v>
      </c>
      <c r="M32" s="1101">
        <f>Application!G730</f>
        <v>8</v>
      </c>
      <c r="N32" s="1109">
        <f>Application!AC730</f>
        <v>0.8</v>
      </c>
      <c r="O32" s="1109">
        <f>IF(Cdlac[[#This Row],[Quantity]]&gt;0,IF(Cdlac[[#This Row],[Federal]],30%,IF($G$36,40%,Cdlac[[#This Row],[iAMI]])),"")</f>
        <v>0.8</v>
      </c>
      <c r="P32" s="1101" cm="1">
        <f t="array" ref="P32">IF(Cdlac[[#This Row],[Quantity]]&gt;0,INDEX(TcacRents,$P$18,Cdlac[[#This Row],[Bedrooms]]+1)*Cdlac[[#This Row],[AMI]],"")</f>
        <v>1891.2</v>
      </c>
      <c r="Q32" s="1101" cm="1">
        <f t="array" ref="Q32">IF(Cdlac[[#This Row],[Quantity]]&gt;0,INDEX(HudFmrs,$P$18,Cdlac[[#This Row],[Bedrooms]]+1),"")</f>
        <v>1747</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3</v>
      </c>
      <c r="N33" s="1109">
        <f>Application!AC731</f>
        <v>0.8</v>
      </c>
      <c r="O33" s="1109">
        <f>IF(Cdlac[[#This Row],[Quantity]]&gt;0,IF(Cdlac[[#This Row],[Federal]],30%,IF($G$36,40%,Cdlac[[#This Row],[iAMI]])),"")</f>
        <v>0.8</v>
      </c>
      <c r="P33" s="1101" cm="1">
        <f t="array" ref="P33">IF(Cdlac[[#This Row],[Quantity]]&gt;0,INDEX(TcacRents,$P$18,Cdlac[[#This Row],[Bedrooms]]+1)*Cdlac[[#This Row],[AMI]],"")</f>
        <v>2268.8000000000002</v>
      </c>
      <c r="Q33" s="1101" cm="1">
        <f t="array" ref="Q33">IF(Cdlac[[#This Row],[Quantity]]&gt;0,INDEX(HudFmrs,$P$18,Cdlac[[#This Row],[Bedrooms]]+1),"")</f>
        <v>2222</v>
      </c>
      <c r="R33" s="1101">
        <f>IF(Cdlac[[#This Row],[Quantity]]&gt;0,MAX(0,Cdlac[[#This Row],[Fair Market Rent]]-Cdlac[[#This Row],[Restricted Rent]]),"")</f>
        <v>0</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4</v>
      </c>
      <c r="N34" s="1109">
        <f>Application!AC732</f>
        <v>0.8</v>
      </c>
      <c r="O34" s="1109">
        <f>IF(Cdlac[[#This Row],[Quantity]]&gt;0,IF(Cdlac[[#This Row],[Federal]],30%,IF($G$36,40%,Cdlac[[#This Row],[iAMI]])),"")</f>
        <v>0.8</v>
      </c>
      <c r="P34" s="1101" cm="1">
        <f t="array" ref="P34">IF(Cdlac[[#This Row],[Quantity]]&gt;0,INDEX(TcacRents,$P$18,Cdlac[[#This Row],[Bedrooms]]+1)*Cdlac[[#This Row],[AMI]],"")</f>
        <v>2622.4</v>
      </c>
      <c r="Q34" s="1101" cm="1">
        <f t="array" ref="Q34">IF(Cdlac[[#This Row],[Quantity]]&gt;0,INDEX(HudFmrs,$P$18,Cdlac[[#This Row],[Bedrooms]]+1),"")</f>
        <v>2888</v>
      </c>
      <c r="R34" s="1101">
        <f>IF(Cdlac[[#This Row],[Quantity]]&gt;0,MAX(0,Cdlac[[#This Row],[Fair Market Rent]]-Cdlac[[#This Row],[Restricted Rent]]),"")</f>
        <v>265.59999999999991</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44433.200000000012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7997976.0000000019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40</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11</v>
      </c>
    </row>
    <row r="54" spans="2:14" ht="15" customHeight="1">
      <c r="E54" s="1159" t="s">
        <v>2306</v>
      </c>
      <c r="G54" s="1117">
        <f>ROUNDDOWN(E27*50%,0)</f>
        <v>40</v>
      </c>
    </row>
    <row r="55" spans="2:14" ht="15" customHeight="1">
      <c r="E55" s="1159"/>
      <c r="G55" s="1117"/>
    </row>
    <row r="56" spans="2:14" ht="15" customHeight="1">
      <c r="E56" s="1159" t="s">
        <v>2257</v>
      </c>
      <c r="G56" s="1156">
        <f>MIN(G53:G54)</f>
        <v>11</v>
      </c>
    </row>
    <row r="57" spans="2:14" ht="15" customHeight="1">
      <c r="E57" s="1159" t="s">
        <v>2247</v>
      </c>
      <c r="F57" s="1155" t="s">
        <v>2304</v>
      </c>
      <c r="G57" s="1166">
        <v>20000</v>
      </c>
    </row>
    <row r="58" spans="2:14" ht="15" customHeight="1">
      <c r="E58" s="1160" t="s">
        <v>2286</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4" t="s">
        <v>1516</v>
      </c>
      <c r="N62" s="2155"/>
    </row>
    <row r="63" spans="2:14" ht="15" customHeight="1">
      <c r="E63" s="1124" t="s">
        <v>2247</v>
      </c>
      <c r="F63" s="1155" t="s">
        <v>2304</v>
      </c>
      <c r="G63" s="1114">
        <v>4000</v>
      </c>
      <c r="L63" s="1170" t="str">
        <f>'Points System'!H639</f>
        <v>(ii)</v>
      </c>
      <c r="M63" s="2146" t="s">
        <v>2261</v>
      </c>
      <c r="N63" s="2147"/>
    </row>
    <row r="64" spans="2:14" ht="15" customHeight="1">
      <c r="E64" s="1124" t="s">
        <v>2308</v>
      </c>
      <c r="F64" s="1155" t="s">
        <v>2304</v>
      </c>
      <c r="G64" s="1168">
        <f>G27</f>
        <v>96.75</v>
      </c>
      <c r="L64" s="1170" t="str">
        <f>'Points System'!H674</f>
        <v>N/A</v>
      </c>
      <c r="M64" s="2146" t="s">
        <v>2262</v>
      </c>
      <c r="N64" s="2147"/>
    </row>
    <row r="65" spans="2:14" ht="15" customHeight="1">
      <c r="E65" s="1160" t="s">
        <v>2266</v>
      </c>
      <c r="F65" s="1081"/>
      <c r="G65" s="1165">
        <f>G62*G63*G64</f>
        <v>2709000</v>
      </c>
      <c r="L65" s="1170" t="str">
        <f>IF(OR('Points System'!H698="(ii)",'Points System'!H698="(i)"),"(i)","N/A")</f>
        <v>(i)</v>
      </c>
      <c r="M65" s="2146" t="s">
        <v>2263</v>
      </c>
      <c r="N65" s="2147"/>
    </row>
    <row r="66" spans="2:14" ht="15" customHeight="1">
      <c r="C66" s="1115"/>
      <c r="G66" s="1156"/>
      <c r="L66" s="1171" t="str">
        <f>'Points System'!H712</f>
        <v>N/A</v>
      </c>
      <c r="M66" s="2146" t="s">
        <v>1542</v>
      </c>
      <c r="N66" s="2147"/>
    </row>
    <row r="67" spans="2:14" ht="15" customHeight="1">
      <c r="E67" s="1124" t="s">
        <v>2309</v>
      </c>
      <c r="G67" s="1168">
        <f>COUNTIFS(L62:L69,"(i)")</f>
        <v>2</v>
      </c>
      <c r="L67" s="1170" t="str">
        <f>'Points System'!H724</f>
        <v>N/A</v>
      </c>
      <c r="M67" s="2146" t="s">
        <v>2264</v>
      </c>
      <c r="N67" s="2147"/>
    </row>
    <row r="68" spans="2:14" ht="15" customHeight="1">
      <c r="E68" s="1124" t="s">
        <v>2247</v>
      </c>
      <c r="F68" s="1155" t="s">
        <v>2304</v>
      </c>
      <c r="G68" s="1166">
        <v>4000</v>
      </c>
      <c r="L68" s="1170" t="str">
        <f>'Points System'!H740</f>
        <v>N/A</v>
      </c>
      <c r="M68" s="2146" t="s">
        <v>2265</v>
      </c>
      <c r="N68" s="2147"/>
    </row>
    <row r="69" spans="2:14" ht="15" customHeight="1" thickBot="1">
      <c r="E69" s="1160" t="s">
        <v>2267</v>
      </c>
      <c r="F69" s="1081"/>
      <c r="G69" s="1165">
        <f>G64*G67*G68</f>
        <v>774000</v>
      </c>
      <c r="L69" s="1172" t="str">
        <f>'Points System'!H752</f>
        <v>N/A</v>
      </c>
      <c r="M69" s="2148" t="s">
        <v>1545</v>
      </c>
      <c r="N69" s="2149"/>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96.75</v>
      </c>
    </row>
    <row r="80" spans="2:14" ht="15" customHeight="1">
      <c r="E80" s="1124" t="s">
        <v>2247</v>
      </c>
      <c r="F80" s="1155" t="s">
        <v>2304</v>
      </c>
      <c r="G80" s="1166">
        <v>25000</v>
      </c>
    </row>
    <row r="81" spans="2:14" ht="15" customHeight="1">
      <c r="E81" s="1160" t="s">
        <v>2268</v>
      </c>
      <c r="F81" s="1081"/>
      <c r="G81" s="1165">
        <f>G77*G80*G64</f>
        <v>2418750</v>
      </c>
    </row>
    <row r="82" spans="2:14" ht="15" customHeight="1">
      <c r="C82" s="1115"/>
      <c r="E82" s="1115"/>
    </row>
    <row r="83" spans="2:14" ht="15" customHeight="1">
      <c r="E83" s="1160" t="s">
        <v>2245</v>
      </c>
      <c r="G83" s="1165">
        <f>G81+G69+G65</f>
        <v>5901750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0" t="s">
        <v>2274</v>
      </c>
      <c r="M87" s="2151"/>
      <c r="N87" s="1173">
        <v>30000</v>
      </c>
    </row>
    <row r="88" spans="2:14" ht="15" customHeight="1">
      <c r="C88" s="1115" t="s">
        <v>2291</v>
      </c>
      <c r="G88" s="1119" t="str">
        <f>IF(Application!D211="Large Family","Yes","No")</f>
        <v>Yes</v>
      </c>
      <c r="L88" s="2142" t="s">
        <v>2238</v>
      </c>
      <c r="M88" s="2143"/>
      <c r="N88" s="1174">
        <v>20000</v>
      </c>
    </row>
    <row r="89" spans="2:14" ht="15" customHeight="1" thickBot="1">
      <c r="C89" s="1115" t="s">
        <v>2272</v>
      </c>
      <c r="G89" s="1078" t="s">
        <v>677</v>
      </c>
      <c r="L89" s="2144" t="s">
        <v>2275</v>
      </c>
      <c r="M89" s="2145"/>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96.75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96.75</v>
      </c>
    </row>
    <row r="105" spans="2:9" ht="15" customHeight="1">
      <c r="E105" s="1124" t="s">
        <v>2247</v>
      </c>
      <c r="F105" s="1155" t="s">
        <v>2304</v>
      </c>
      <c r="G105" s="1085">
        <v>20000</v>
      </c>
    </row>
    <row r="106" spans="2:9" ht="15" customHeight="1">
      <c r="E106" s="1160" t="s">
        <v>2276</v>
      </c>
      <c r="F106" s="1081"/>
      <c r="G106" s="1165">
        <f>G102*G105*G104</f>
        <v>1935000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Chad Horsford</cp:lastModifiedBy>
  <cp:lastPrinted>2024-04-23T00:23:29Z</cp:lastPrinted>
  <dcterms:created xsi:type="dcterms:W3CDTF">2007-12-27T18:26:28Z</dcterms:created>
  <dcterms:modified xsi:type="dcterms:W3CDTF">2024-04-23T17:51:19Z</dcterms:modified>
</cp:coreProperties>
</file>